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32" activeTab="0"/>
  </bookViews>
  <sheets>
    <sheet name="2016-17" sheetId="1" r:id="rId1"/>
    <sheet name="2015-16" sheetId="2" r:id="rId2"/>
    <sheet name="2014-15" sheetId="3" r:id="rId3"/>
    <sheet name="2013-14" sheetId="4" r:id="rId4"/>
    <sheet name="2012-13" sheetId="5" r:id="rId5"/>
    <sheet name="2011-12" sheetId="6" r:id="rId6"/>
    <sheet name="2010-11" sheetId="7" r:id="rId7"/>
    <sheet name="2009-10" sheetId="8" r:id="rId8"/>
    <sheet name="2008-9" sheetId="9" r:id="rId9"/>
    <sheet name="2007-8" sheetId="10" r:id="rId10"/>
    <sheet name="2006-7" sheetId="11" r:id="rId11"/>
    <sheet name="2005-6" sheetId="12" r:id="rId12"/>
    <sheet name="2004-5" sheetId="13" r:id="rId13"/>
    <sheet name="2003-4" sheetId="14" r:id="rId14"/>
  </sheets>
  <externalReferences>
    <externalReference r:id="rId17"/>
  </externalReferences>
  <definedNames>
    <definedName name="_xlnm.Print_Titles" localSheetId="7">'2009-10'!$A:$C</definedName>
    <definedName name="_xlnm.Print_Titles" localSheetId="6">'2010-11'!$A:$C</definedName>
    <definedName name="_xlnm.Print_Titles" localSheetId="5">'2011-12'!$A:$C</definedName>
    <definedName name="_xlnm.Print_Titles" localSheetId="4">'2012-13'!$A:$C</definedName>
    <definedName name="_xlnm.Print_Titles" localSheetId="3">'2013-14'!$A:$C</definedName>
    <definedName name="_xlnm.Print_Titles" localSheetId="2">'2014-15'!$A:$C</definedName>
    <definedName name="_xlnm.Print_Titles" localSheetId="1">'2015-16'!$A:$C</definedName>
    <definedName name="_xlnm.Print_Titles" localSheetId="0">'2016-17'!$A:$C</definedName>
  </definedNames>
  <calcPr fullCalcOnLoad="1"/>
</workbook>
</file>

<file path=xl/sharedStrings.xml><?xml version="1.0" encoding="utf-8"?>
<sst xmlns="http://schemas.openxmlformats.org/spreadsheetml/2006/main" count="1021" uniqueCount="105">
  <si>
    <t>Bradley Stoke Town Council</t>
  </si>
  <si>
    <t>2003/04 Budget Summary</t>
  </si>
  <si>
    <t>Per Budget</t>
  </si>
  <si>
    <t>Codes</t>
  </si>
  <si>
    <t>Expend</t>
  </si>
  <si>
    <t>Income</t>
  </si>
  <si>
    <t>Capital</t>
  </si>
  <si>
    <t>Realloc'n</t>
  </si>
  <si>
    <t>Cap Chs</t>
  </si>
  <si>
    <t>Interest</t>
  </si>
  <si>
    <t>Net</t>
  </si>
  <si>
    <t>Recr+Sp</t>
  </si>
  <si>
    <t>Comm Ctrs</t>
  </si>
  <si>
    <t>O/d Sport</t>
  </si>
  <si>
    <t>Op Spaces</t>
  </si>
  <si>
    <t>Comm Dev</t>
  </si>
  <si>
    <t>Roads</t>
  </si>
  <si>
    <t>Other</t>
  </si>
  <si>
    <t>Corp Mgt</t>
  </si>
  <si>
    <t>D R M</t>
  </si>
  <si>
    <t>Civic</t>
  </si>
  <si>
    <t>Jubilee Centre</t>
  </si>
  <si>
    <t>}</t>
  </si>
  <si>
    <t>Brookway</t>
  </si>
  <si>
    <t>Baileys Court</t>
  </si>
  <si>
    <t>Outdoor Sports/Recr'n</t>
  </si>
  <si>
    <t>Play Areas</t>
  </si>
  <si>
    <t>5039/46/7</t>
  </si>
  <si>
    <t>Open Spaces</t>
  </si>
  <si>
    <t>5088/9</t>
  </si>
  <si>
    <t>Community Dev</t>
  </si>
  <si>
    <t>5075-9,9042</t>
  </si>
  <si>
    <t>5035/6/40/42</t>
  </si>
  <si>
    <t>Other services</t>
  </si>
  <si>
    <t>Admin/Office</t>
  </si>
  <si>
    <t>Corp Management</t>
  </si>
  <si>
    <t>Democratic R &amp; M</t>
  </si>
  <si>
    <t>Capital &amp; Projects</t>
  </si>
  <si>
    <t>Loan Charges</t>
  </si>
  <si>
    <t>Precept</t>
  </si>
  <si>
    <t xml:space="preserve">Reserves </t>
  </si>
  <si>
    <t>&amp; Adjustments</t>
  </si>
  <si>
    <t>2004/05 Budget Summary</t>
  </si>
  <si>
    <t>5075-9</t>
  </si>
  <si>
    <t>Notes</t>
  </si>
  <si>
    <t>Capital Reallocation</t>
  </si>
  <si>
    <t>Total Budget</t>
  </si>
  <si>
    <t>Less: Capital Exp (£5081)</t>
  </si>
  <si>
    <t>Split Equally 101/102/103 for Broadband etc</t>
  </si>
  <si>
    <t>Street Furniture - to Roads</t>
  </si>
  <si>
    <t>BS Jubilee Centre</t>
  </si>
  <si>
    <t>Office</t>
  </si>
  <si>
    <t>CAPITAL</t>
  </si>
  <si>
    <t>Revenue</t>
  </si>
  <si>
    <t>Brook Way</t>
  </si>
  <si>
    <t>Play areas</t>
  </si>
  <si>
    <t>5085/7</t>
  </si>
  <si>
    <t>Reallocation</t>
  </si>
  <si>
    <t>Staff</t>
  </si>
  <si>
    <t>O'heads</t>
  </si>
  <si>
    <t>(dep only)</t>
  </si>
  <si>
    <t>2005/06 Budget Summary</t>
  </si>
  <si>
    <t>P Tpt</t>
  </si>
  <si>
    <t>Concess Fares</t>
  </si>
  <si>
    <t>2006/07 Budget Summary</t>
  </si>
  <si>
    <t>5076-9</t>
  </si>
  <si>
    <t>Reserves</t>
  </si>
  <si>
    <t>2007/08 Budget Summary</t>
  </si>
  <si>
    <t>5076-9/85</t>
  </si>
  <si>
    <t>2008/09 Budget Summary</t>
  </si>
  <si>
    <t>5088/9/90</t>
  </si>
  <si>
    <t>Night Bus</t>
  </si>
  <si>
    <t>2009/10 Budget Summary</t>
  </si>
  <si>
    <t>Def Grts</t>
  </si>
  <si>
    <t>2010/11 Budget Summary</t>
  </si>
  <si>
    <t>2011/12 Budget Summary</t>
  </si>
  <si>
    <t>Loans</t>
  </si>
  <si>
    <t>5039/46/7/51</t>
  </si>
  <si>
    <t>5075-9/85</t>
  </si>
  <si>
    <t>From Reserves</t>
  </si>
  <si>
    <t>As above</t>
  </si>
  <si>
    <t>2012/13 Budget Summary</t>
  </si>
  <si>
    <t>5074-9/85/92</t>
  </si>
  <si>
    <t>5035/6/40/42,5997/8</t>
  </si>
  <si>
    <t>(Actuals)</t>
  </si>
  <si>
    <t>2013/14 Budget Summary</t>
  </si>
  <si>
    <t>5074-9/85/92,5499-5505</t>
  </si>
  <si>
    <t>C T B S G</t>
  </si>
  <si>
    <t>Reserves 1/4/13</t>
  </si>
  <si>
    <t>Reserves 31/3/14</t>
  </si>
  <si>
    <t>Comm Evts</t>
  </si>
  <si>
    <t>CTBSG</t>
  </si>
  <si>
    <t>2014/15 Budget Summary</t>
  </si>
  <si>
    <t>Reserves 1/4/14</t>
  </si>
  <si>
    <t>Reserves 31/3/15</t>
  </si>
  <si>
    <t>Budget Surplus</t>
  </si>
  <si>
    <t>Surplus as above</t>
  </si>
  <si>
    <t>2015/16 Budget Summary</t>
  </si>
  <si>
    <t>Reserves 1/4/15</t>
  </si>
  <si>
    <t>Reserves 31/3/16</t>
  </si>
  <si>
    <t>Less 2014/15 Surplus</t>
  </si>
  <si>
    <t>2016/17 Budget Summary</t>
  </si>
  <si>
    <t>Reserves 1/4/16</t>
  </si>
  <si>
    <t>Reserves 31/3/17</t>
  </si>
  <si>
    <t>Less 2015/16 Surplus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</si>
</sst>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chel\AppData\Local\Microsoft\Windows\Temporary%20Internet%20Files\Content.Outlook\B34970AE\Realloca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-17"/>
      <sheetName val="2015-16"/>
      <sheetName val="2014-15"/>
      <sheetName val="2013-14"/>
      <sheetName val="2012-13"/>
      <sheetName val="2011-12"/>
      <sheetName val="2010-11"/>
      <sheetName val="2009-10"/>
      <sheetName val="2008-9"/>
      <sheetName val="2004-5 (2)"/>
      <sheetName val="2004-5"/>
      <sheetName val="2003-4"/>
      <sheetName val="Sheet2"/>
      <sheetName val="Sheet3"/>
    </sheetNames>
    <sheetDataSet>
      <sheetData sheetId="10">
        <row r="19">
          <cell r="C19">
            <v>273468.11</v>
          </cell>
          <cell r="E19">
            <v>196510.62</v>
          </cell>
          <cell r="G19">
            <v>6658.64</v>
          </cell>
          <cell r="I19">
            <v>33640.74</v>
          </cell>
          <cell r="K19">
            <v>32748.780000000002</v>
          </cell>
          <cell r="M19">
            <v>3909.33</v>
          </cell>
        </row>
        <row r="34">
          <cell r="D34">
            <v>0.5710999999999999</v>
          </cell>
          <cell r="F34">
            <v>0.0488</v>
          </cell>
          <cell r="H34">
            <v>0.2153</v>
          </cell>
          <cell r="J34">
            <v>0.1493</v>
          </cell>
          <cell r="L34">
            <v>0.0155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6.421875" style="0" customWidth="1"/>
    <col min="2" max="2" width="23.140625" style="0" customWidth="1"/>
    <col min="3" max="3" width="21.7109375" style="0" customWidth="1"/>
    <col min="4" max="4" width="10.57421875" style="0" customWidth="1"/>
    <col min="5" max="6" width="9.00390625" style="0" customWidth="1"/>
    <col min="7" max="8" width="10.57421875" style="0" customWidth="1"/>
    <col min="9" max="9" width="3.8515625" style="0" customWidth="1"/>
    <col min="10" max="10" width="9.421875" style="0" customWidth="1"/>
    <col min="11" max="15" width="9.28125" style="0" customWidth="1"/>
    <col min="16" max="17" width="8.7109375" style="0" customWidth="1"/>
    <col min="18" max="18" width="11.00390625" style="0" customWidth="1"/>
    <col min="19" max="19" width="9.7109375" style="0" customWidth="1"/>
    <col min="20" max="22" width="10.8515625" style="0" customWidth="1"/>
    <col min="23" max="23" width="9.140625" style="0" customWidth="1"/>
    <col min="24" max="24" width="6.57421875" style="0" customWidth="1"/>
    <col min="25" max="25" width="8.00390625" style="0" customWidth="1"/>
    <col min="27" max="27" width="8.7109375" style="0" customWidth="1"/>
    <col min="28" max="29" width="7.7109375" style="0" customWidth="1"/>
  </cols>
  <sheetData>
    <row r="1" spans="1:18" ht="12.75">
      <c r="A1" s="2" t="s">
        <v>0</v>
      </c>
      <c r="E1" s="2" t="s">
        <v>101</v>
      </c>
      <c r="F1" s="2"/>
      <c r="R1" s="2" t="str">
        <f>E1</f>
        <v>2016/17 Budget Summary</v>
      </c>
    </row>
    <row r="2" spans="1:6" ht="12.75">
      <c r="A2" s="2"/>
      <c r="E2" s="2"/>
      <c r="F2" s="2"/>
    </row>
    <row r="3" spans="1:15" ht="13.5" thickBot="1">
      <c r="A3" s="2"/>
      <c r="B3" s="2"/>
      <c r="C3" s="2"/>
      <c r="D3" s="3" t="s">
        <v>2</v>
      </c>
      <c r="E3" s="3"/>
      <c r="F3" s="3"/>
      <c r="G3" s="3"/>
      <c r="H3" s="3"/>
      <c r="I3" s="3"/>
      <c r="J3" s="3"/>
      <c r="K3" s="3"/>
      <c r="L3" s="3"/>
      <c r="M3" s="3"/>
      <c r="N3" s="4"/>
      <c r="O3" s="4"/>
    </row>
    <row r="4" spans="3:29" ht="13.5" thickBot="1">
      <c r="C4" s="4" t="s">
        <v>3</v>
      </c>
      <c r="D4" s="4" t="s">
        <v>4</v>
      </c>
      <c r="E4" s="4" t="s">
        <v>5</v>
      </c>
      <c r="F4" s="4" t="s">
        <v>76</v>
      </c>
      <c r="G4" s="4" t="s">
        <v>6</v>
      </c>
      <c r="H4" s="4" t="s">
        <v>66</v>
      </c>
      <c r="I4" s="4"/>
      <c r="J4" s="33" t="s">
        <v>57</v>
      </c>
      <c r="K4" s="33"/>
      <c r="L4" s="4" t="s">
        <v>8</v>
      </c>
      <c r="M4" s="4" t="s">
        <v>73</v>
      </c>
      <c r="N4" s="4" t="s">
        <v>9</v>
      </c>
      <c r="O4" s="4" t="s">
        <v>10</v>
      </c>
      <c r="Q4" s="5" t="s">
        <v>11</v>
      </c>
      <c r="R4" s="6" t="s">
        <v>12</v>
      </c>
      <c r="S4" s="7" t="s">
        <v>13</v>
      </c>
      <c r="T4" s="8" t="s">
        <v>14</v>
      </c>
      <c r="U4" s="5" t="s">
        <v>90</v>
      </c>
      <c r="V4" s="9" t="s">
        <v>15</v>
      </c>
      <c r="W4" s="10" t="s">
        <v>16</v>
      </c>
      <c r="X4" s="10" t="s">
        <v>62</v>
      </c>
      <c r="Y4" s="10" t="s">
        <v>91</v>
      </c>
      <c r="Z4" s="9" t="s">
        <v>18</v>
      </c>
      <c r="AA4" s="9" t="s">
        <v>19</v>
      </c>
      <c r="AB4" s="9" t="s">
        <v>20</v>
      </c>
      <c r="AC4" s="5" t="s">
        <v>9</v>
      </c>
    </row>
    <row r="5" spans="10:29" ht="12.75">
      <c r="J5" s="4" t="s">
        <v>58</v>
      </c>
      <c r="K5" s="4" t="s">
        <v>59</v>
      </c>
      <c r="R5" s="11"/>
      <c r="S5" s="12"/>
      <c r="T5" s="1"/>
      <c r="U5" s="1"/>
      <c r="V5" s="12"/>
      <c r="W5" s="12"/>
      <c r="X5" s="12"/>
      <c r="Y5" s="12"/>
      <c r="Z5" s="1"/>
      <c r="AA5" s="13"/>
      <c r="AB5" s="13"/>
      <c r="AC5" s="13"/>
    </row>
    <row r="6" spans="1:27" ht="12" customHeight="1">
      <c r="A6">
        <v>101</v>
      </c>
      <c r="B6" t="s">
        <v>21</v>
      </c>
      <c r="C6" s="14"/>
      <c r="D6">
        <v>94602</v>
      </c>
      <c r="E6">
        <v>-54000</v>
      </c>
      <c r="I6" s="14" t="s">
        <v>22</v>
      </c>
      <c r="O6">
        <f aca="true" t="shared" si="0" ref="O6:O22">SUM(D6:N6)</f>
        <v>40602</v>
      </c>
      <c r="Q6">
        <f aca="true" t="shared" si="1" ref="Q6:Q22">SUM(R6:S6)</f>
        <v>40602</v>
      </c>
      <c r="R6" s="11">
        <f>O6</f>
        <v>40602</v>
      </c>
      <c r="S6" s="1"/>
      <c r="T6" s="1"/>
      <c r="U6" s="1"/>
      <c r="V6" s="1"/>
      <c r="W6" s="1"/>
      <c r="X6" s="1"/>
      <c r="AA6" s="1"/>
    </row>
    <row r="7" spans="1:28" ht="12" customHeight="1">
      <c r="A7">
        <v>102</v>
      </c>
      <c r="B7" t="s">
        <v>54</v>
      </c>
      <c r="C7" s="14"/>
      <c r="D7">
        <v>45201</v>
      </c>
      <c r="E7">
        <v>-20000</v>
      </c>
      <c r="I7" s="14" t="s">
        <v>22</v>
      </c>
      <c r="J7" s="23">
        <v>156581</v>
      </c>
      <c r="K7">
        <v>20046</v>
      </c>
      <c r="O7">
        <f t="shared" si="0"/>
        <v>201828</v>
      </c>
      <c r="Q7">
        <f t="shared" si="1"/>
        <v>201828</v>
      </c>
      <c r="R7" s="11">
        <f>O7</f>
        <v>201828</v>
      </c>
      <c r="S7" s="1"/>
      <c r="T7" s="1"/>
      <c r="U7" s="1"/>
      <c r="V7" s="1"/>
      <c r="W7" s="1"/>
      <c r="X7" s="1"/>
      <c r="Y7" s="1"/>
      <c r="AB7" s="1"/>
    </row>
    <row r="8" spans="1:28" ht="12" customHeight="1">
      <c r="A8">
        <v>103</v>
      </c>
      <c r="B8" t="s">
        <v>24</v>
      </c>
      <c r="C8" s="14"/>
      <c r="D8">
        <v>89655</v>
      </c>
      <c r="E8">
        <v>-59000</v>
      </c>
      <c r="I8" s="14" t="s">
        <v>22</v>
      </c>
      <c r="O8">
        <f t="shared" si="0"/>
        <v>30655</v>
      </c>
      <c r="Q8">
        <f t="shared" si="1"/>
        <v>30655</v>
      </c>
      <c r="R8" s="11">
        <f>O8</f>
        <v>30655</v>
      </c>
      <c r="S8" s="1"/>
      <c r="T8" s="1"/>
      <c r="U8" s="1"/>
      <c r="V8" s="1"/>
      <c r="W8" s="1"/>
      <c r="X8" s="1"/>
      <c r="Y8" s="1"/>
      <c r="AB8" s="1"/>
    </row>
    <row r="9" spans="1:28" ht="12" customHeight="1">
      <c r="A9">
        <v>201</v>
      </c>
      <c r="B9" t="s">
        <v>26</v>
      </c>
      <c r="C9" s="22" t="s">
        <v>77</v>
      </c>
      <c r="D9">
        <f>11000+1000</f>
        <v>12000</v>
      </c>
      <c r="J9">
        <v>23779</v>
      </c>
      <c r="K9">
        <v>3517</v>
      </c>
      <c r="O9">
        <f t="shared" si="0"/>
        <v>39296</v>
      </c>
      <c r="Q9">
        <f t="shared" si="1"/>
        <v>0</v>
      </c>
      <c r="R9" s="11"/>
      <c r="S9" s="1"/>
      <c r="T9" s="1">
        <f>O9</f>
        <v>39296</v>
      </c>
      <c r="U9" s="1"/>
      <c r="V9" s="1"/>
      <c r="W9" s="1"/>
      <c r="X9" s="1"/>
      <c r="Y9" s="1"/>
      <c r="AB9" s="1"/>
    </row>
    <row r="10" spans="1:28" ht="12" customHeight="1">
      <c r="A10">
        <v>202</v>
      </c>
      <c r="B10" t="s">
        <v>28</v>
      </c>
      <c r="C10" s="22" t="s">
        <v>70</v>
      </c>
      <c r="D10">
        <v>500</v>
      </c>
      <c r="O10">
        <f t="shared" si="0"/>
        <v>500</v>
      </c>
      <c r="Q10">
        <f t="shared" si="1"/>
        <v>0</v>
      </c>
      <c r="R10" s="11"/>
      <c r="S10" s="1"/>
      <c r="T10" s="1">
        <f>$O10</f>
        <v>500</v>
      </c>
      <c r="U10" s="1"/>
      <c r="V10" s="1"/>
      <c r="W10" s="1"/>
      <c r="X10" s="1"/>
      <c r="Y10" s="1"/>
      <c r="AB10" s="1"/>
    </row>
    <row r="11" spans="1:28" ht="12" customHeight="1">
      <c r="A11">
        <v>206</v>
      </c>
      <c r="B11" t="s">
        <v>30</v>
      </c>
      <c r="C11" s="22" t="s">
        <v>86</v>
      </c>
      <c r="D11">
        <f>25000+5750+6000+9877+28045+8200+54133</f>
        <v>137005</v>
      </c>
      <c r="O11">
        <f t="shared" si="0"/>
        <v>137005</v>
      </c>
      <c r="Q11">
        <f t="shared" si="1"/>
        <v>0</v>
      </c>
      <c r="R11" s="11"/>
      <c r="S11" s="1"/>
      <c r="T11" s="1"/>
      <c r="U11" s="1"/>
      <c r="V11" s="1">
        <f>$O11-X11</f>
        <v>137005</v>
      </c>
      <c r="W11" s="1"/>
      <c r="X11" s="1"/>
      <c r="Y11" s="1"/>
      <c r="AB11" s="1"/>
    </row>
    <row r="12" spans="1:25" ht="12" customHeight="1">
      <c r="A12">
        <v>401</v>
      </c>
      <c r="B12" t="s">
        <v>16</v>
      </c>
      <c r="C12" s="22" t="s">
        <v>83</v>
      </c>
      <c r="D12">
        <f>400+6485+15680+1000+4870+2325</f>
        <v>30760</v>
      </c>
      <c r="J12">
        <v>21344</v>
      </c>
      <c r="K12">
        <v>1506</v>
      </c>
      <c r="O12">
        <f t="shared" si="0"/>
        <v>53610</v>
      </c>
      <c r="Q12">
        <f t="shared" si="1"/>
        <v>0</v>
      </c>
      <c r="R12" s="11"/>
      <c r="S12" s="1"/>
      <c r="T12" s="1"/>
      <c r="U12" s="1"/>
      <c r="V12" s="1"/>
      <c r="W12" s="1">
        <f>$O12</f>
        <v>53610</v>
      </c>
      <c r="X12" s="1"/>
      <c r="Y12" s="1"/>
    </row>
    <row r="13" spans="2:25" ht="12" customHeight="1">
      <c r="B13" t="s">
        <v>33</v>
      </c>
      <c r="C13" s="14">
        <v>5087</v>
      </c>
      <c r="D13">
        <v>22100</v>
      </c>
      <c r="O13">
        <f t="shared" si="0"/>
        <v>22100</v>
      </c>
      <c r="Q13">
        <f t="shared" si="1"/>
        <v>0</v>
      </c>
      <c r="R13" s="11"/>
      <c r="S13" s="1"/>
      <c r="T13" s="1"/>
      <c r="U13" s="1">
        <f>$O13</f>
        <v>22100</v>
      </c>
      <c r="V13" s="1"/>
      <c r="W13" s="1"/>
      <c r="X13" s="1"/>
      <c r="Y13" s="1"/>
    </row>
    <row r="14" spans="2:25" ht="12" customHeight="1">
      <c r="B14" s="23" t="s">
        <v>71</v>
      </c>
      <c r="C14" s="14">
        <v>9041</v>
      </c>
      <c r="O14">
        <f t="shared" si="0"/>
        <v>0</v>
      </c>
      <c r="Q14">
        <f t="shared" si="1"/>
        <v>0</v>
      </c>
      <c r="R14" s="11"/>
      <c r="S14" s="1"/>
      <c r="T14" s="1"/>
      <c r="U14" s="1"/>
      <c r="V14" s="1"/>
      <c r="W14" s="1"/>
      <c r="X14" s="1">
        <f>$O14</f>
        <v>0</v>
      </c>
      <c r="Y14" s="1"/>
    </row>
    <row r="15" spans="2:26" ht="12" customHeight="1">
      <c r="B15" t="s">
        <v>34</v>
      </c>
      <c r="C15" s="14"/>
      <c r="D15">
        <f>968257-SUM(D6:D13)-SUM(D17:D19)</f>
        <v>511034</v>
      </c>
      <c r="E15">
        <v>-300</v>
      </c>
      <c r="F15">
        <f>-23222-2889</f>
        <v>-26111</v>
      </c>
      <c r="J15" s="21">
        <f>-162070-84893-21478-20334</f>
        <v>-288775</v>
      </c>
      <c r="K15">
        <v>-47365</v>
      </c>
      <c r="O15">
        <f t="shared" si="0"/>
        <v>148483</v>
      </c>
      <c r="Q15">
        <f t="shared" si="1"/>
        <v>0</v>
      </c>
      <c r="R15" s="11"/>
      <c r="S15" s="1"/>
      <c r="T15" s="1"/>
      <c r="U15" s="1"/>
      <c r="V15" s="1"/>
      <c r="W15" s="1"/>
      <c r="X15" s="1"/>
      <c r="Y15" s="1"/>
      <c r="Z15" s="1">
        <f>$O15</f>
        <v>148483</v>
      </c>
    </row>
    <row r="16" spans="1:26" ht="12" customHeight="1">
      <c r="A16">
        <v>901</v>
      </c>
      <c r="B16" t="s">
        <v>35</v>
      </c>
      <c r="C16" s="14"/>
      <c r="O16">
        <f t="shared" si="0"/>
        <v>0</v>
      </c>
      <c r="Q16">
        <f t="shared" si="1"/>
        <v>0</v>
      </c>
      <c r="R16" s="11"/>
      <c r="S16" s="1"/>
      <c r="T16" s="1"/>
      <c r="U16" s="1"/>
      <c r="V16" s="1"/>
      <c r="W16" s="1"/>
      <c r="X16" s="1"/>
      <c r="Y16" s="1"/>
      <c r="Z16" s="1">
        <f>$O16</f>
        <v>0</v>
      </c>
    </row>
    <row r="17" spans="1:27" ht="12" customHeight="1">
      <c r="A17">
        <v>902</v>
      </c>
      <c r="B17" t="s">
        <v>36</v>
      </c>
      <c r="C17" s="14">
        <v>5086</v>
      </c>
      <c r="D17">
        <v>5000</v>
      </c>
      <c r="J17">
        <v>59252</v>
      </c>
      <c r="K17">
        <v>14866</v>
      </c>
      <c r="O17">
        <f t="shared" si="0"/>
        <v>79118</v>
      </c>
      <c r="Q17">
        <f t="shared" si="1"/>
        <v>0</v>
      </c>
      <c r="R17" s="11"/>
      <c r="S17" s="1"/>
      <c r="T17" s="1"/>
      <c r="U17" s="1"/>
      <c r="V17" s="1"/>
      <c r="W17" s="1"/>
      <c r="X17" s="1"/>
      <c r="Y17" s="1"/>
      <c r="AA17" s="1">
        <f>$O17</f>
        <v>79118</v>
      </c>
    </row>
    <row r="18" spans="1:28" ht="12" customHeight="1">
      <c r="A18">
        <v>903</v>
      </c>
      <c r="B18" t="s">
        <v>20</v>
      </c>
      <c r="C18" s="14">
        <v>5073</v>
      </c>
      <c r="D18">
        <v>500</v>
      </c>
      <c r="J18">
        <v>27819</v>
      </c>
      <c r="K18">
        <v>7430</v>
      </c>
      <c r="O18">
        <f t="shared" si="0"/>
        <v>35749</v>
      </c>
      <c r="Q18">
        <f t="shared" si="1"/>
        <v>0</v>
      </c>
      <c r="R18" s="11"/>
      <c r="S18" s="1"/>
      <c r="T18" s="1"/>
      <c r="U18" s="1"/>
      <c r="V18" s="1"/>
      <c r="W18" s="1"/>
      <c r="X18" s="1"/>
      <c r="Y18" s="1"/>
      <c r="AB18" s="1">
        <f>$O18</f>
        <v>35749</v>
      </c>
    </row>
    <row r="19" spans="2:25" ht="12" customHeight="1">
      <c r="B19" t="s">
        <v>37</v>
      </c>
      <c r="C19" s="14"/>
      <c r="D19">
        <v>19900</v>
      </c>
      <c r="G19">
        <f>-D19</f>
        <v>-19900</v>
      </c>
      <c r="O19">
        <f t="shared" si="0"/>
        <v>0</v>
      </c>
      <c r="Q19">
        <f t="shared" si="1"/>
        <v>0</v>
      </c>
      <c r="R19" s="11"/>
      <c r="S19" s="1"/>
      <c r="T19" s="1"/>
      <c r="U19" s="1"/>
      <c r="V19" s="1"/>
      <c r="W19" s="1"/>
      <c r="X19" s="1"/>
      <c r="Y19" s="1"/>
    </row>
    <row r="20" spans="2:25" ht="12" customHeight="1">
      <c r="B20" s="23" t="s">
        <v>87</v>
      </c>
      <c r="C20" s="14"/>
      <c r="E20">
        <v>-19073</v>
      </c>
      <c r="O20">
        <f>SUM(D20:N20)</f>
        <v>-19073</v>
      </c>
      <c r="Q20">
        <f>SUM(R20:S20)</f>
        <v>0</v>
      </c>
      <c r="R20" s="11"/>
      <c r="S20" s="1"/>
      <c r="T20" s="1"/>
      <c r="U20" s="1"/>
      <c r="V20" s="1"/>
      <c r="W20" s="1"/>
      <c r="X20" s="1"/>
      <c r="Y20" s="1">
        <f>$O20</f>
        <v>-19073</v>
      </c>
    </row>
    <row r="21" spans="2:25" ht="12" customHeight="1">
      <c r="B21" t="s">
        <v>66</v>
      </c>
      <c r="C21" s="14"/>
      <c r="D21">
        <v>-20347</v>
      </c>
      <c r="H21">
        <v>20347</v>
      </c>
      <c r="O21">
        <f t="shared" si="0"/>
        <v>0</v>
      </c>
      <c r="Q21">
        <f t="shared" si="1"/>
        <v>0</v>
      </c>
      <c r="R21" s="11"/>
      <c r="S21" s="1"/>
      <c r="T21" s="1"/>
      <c r="U21" s="1"/>
      <c r="V21" s="1"/>
      <c r="W21" s="1"/>
      <c r="X21" s="1"/>
      <c r="Y21" s="1"/>
    </row>
    <row r="22" spans="2:29" ht="12.75">
      <c r="B22" t="s">
        <v>9</v>
      </c>
      <c r="C22" s="14"/>
      <c r="E22">
        <v>-4450</v>
      </c>
      <c r="O22">
        <f t="shared" si="0"/>
        <v>-4450</v>
      </c>
      <c r="Q22">
        <f t="shared" si="1"/>
        <v>0</v>
      </c>
      <c r="R22" s="11"/>
      <c r="S22" s="1"/>
      <c r="T22" s="15"/>
      <c r="U22" s="1"/>
      <c r="V22" s="1"/>
      <c r="W22" s="1"/>
      <c r="X22" s="1"/>
      <c r="Y22" s="1"/>
      <c r="AC22" s="1">
        <f>$O22</f>
        <v>-4450</v>
      </c>
    </row>
    <row r="23" spans="4:29" ht="13.5" thickBot="1">
      <c r="D23" s="16">
        <f>SUM(D6:D22)</f>
        <v>947910</v>
      </c>
      <c r="E23" s="16">
        <f>SUM(E6:E22)</f>
        <v>-156823</v>
      </c>
      <c r="F23" s="16">
        <f>SUM(F6:F22)</f>
        <v>-26111</v>
      </c>
      <c r="G23" s="16">
        <f>SUM(G6:G22)</f>
        <v>-19900</v>
      </c>
      <c r="H23" s="16">
        <f>SUM(H6:H22)</f>
        <v>20347</v>
      </c>
      <c r="I23" s="16"/>
      <c r="J23" s="16">
        <f aca="true" t="shared" si="2" ref="J23:O23">SUM(J6:J22)</f>
        <v>0</v>
      </c>
      <c r="K23" s="16">
        <f t="shared" si="2"/>
        <v>0</v>
      </c>
      <c r="L23" s="16">
        <f t="shared" si="2"/>
        <v>0</v>
      </c>
      <c r="M23" s="16">
        <f t="shared" si="2"/>
        <v>0</v>
      </c>
      <c r="N23" s="16">
        <f t="shared" si="2"/>
        <v>0</v>
      </c>
      <c r="O23" s="16">
        <f t="shared" si="2"/>
        <v>765423</v>
      </c>
      <c r="Q23" s="16">
        <f aca="true" t="shared" si="3" ref="Q23:AC23">SUM(Q5:Q22)</f>
        <v>273085</v>
      </c>
      <c r="R23" s="16">
        <f t="shared" si="3"/>
        <v>273085</v>
      </c>
      <c r="S23" s="16">
        <f t="shared" si="3"/>
        <v>0</v>
      </c>
      <c r="T23" s="17">
        <f t="shared" si="3"/>
        <v>39796</v>
      </c>
      <c r="U23" s="16">
        <f t="shared" si="3"/>
        <v>22100</v>
      </c>
      <c r="V23" s="16">
        <f t="shared" si="3"/>
        <v>137005</v>
      </c>
      <c r="W23" s="16">
        <f t="shared" si="3"/>
        <v>53610</v>
      </c>
      <c r="X23" s="16">
        <f t="shared" si="3"/>
        <v>0</v>
      </c>
      <c r="Y23" s="16">
        <f t="shared" si="3"/>
        <v>-19073</v>
      </c>
      <c r="Z23" s="16">
        <f t="shared" si="3"/>
        <v>148483</v>
      </c>
      <c r="AA23" s="16">
        <f t="shared" si="3"/>
        <v>79118</v>
      </c>
      <c r="AB23" s="16">
        <f t="shared" si="3"/>
        <v>35749</v>
      </c>
      <c r="AC23" s="16">
        <f t="shared" si="3"/>
        <v>-4450</v>
      </c>
    </row>
    <row r="24" spans="17:29" ht="14.25" thickBot="1" thickTop="1">
      <c r="Q24" s="18">
        <f>Q23</f>
        <v>273085</v>
      </c>
      <c r="R24" s="1"/>
      <c r="S24" s="1"/>
      <c r="T24" s="18">
        <f aca="true" t="shared" si="4" ref="T24:Z24">T23</f>
        <v>39796</v>
      </c>
      <c r="U24" s="34">
        <f>SUM(U23:V23)</f>
        <v>159105</v>
      </c>
      <c r="V24" s="34"/>
      <c r="W24" s="18">
        <f t="shared" si="4"/>
        <v>53610</v>
      </c>
      <c r="X24" s="18">
        <f t="shared" si="4"/>
        <v>0</v>
      </c>
      <c r="Y24" s="18">
        <f t="shared" si="4"/>
        <v>-19073</v>
      </c>
      <c r="Z24" s="18">
        <f t="shared" si="4"/>
        <v>148483</v>
      </c>
      <c r="AA24" s="34">
        <f>AA23+AB23</f>
        <v>114867</v>
      </c>
      <c r="AB24" s="34"/>
      <c r="AC24" s="18">
        <f>AC23</f>
        <v>-4450</v>
      </c>
    </row>
    <row r="25" spans="1:16" ht="14.25" thickBot="1" thickTop="1">
      <c r="A25" t="s">
        <v>39</v>
      </c>
      <c r="D25" s="17">
        <v>794995</v>
      </c>
      <c r="G25" s="1"/>
      <c r="H25" s="1"/>
      <c r="I25" s="1"/>
      <c r="O25" s="17">
        <f>D25</f>
        <v>794995</v>
      </c>
      <c r="P25" s="17">
        <f>SUM(Q24:AC24)</f>
        <v>765423</v>
      </c>
    </row>
    <row r="26" spans="1:14" ht="13.5" thickTop="1">
      <c r="A26" t="s">
        <v>40</v>
      </c>
      <c r="N26" s="1"/>
    </row>
    <row r="27" spans="1:15" ht="13.5" thickBot="1">
      <c r="A27" t="s">
        <v>41</v>
      </c>
      <c r="D27" s="35">
        <f>D23-D25+E23</f>
        <v>-3908</v>
      </c>
      <c r="E27" s="35"/>
      <c r="F27" s="17">
        <f>F23</f>
        <v>-26111</v>
      </c>
      <c r="G27" s="17">
        <f>G23</f>
        <v>-19900</v>
      </c>
      <c r="H27" s="17">
        <f>H23</f>
        <v>20347</v>
      </c>
      <c r="I27" s="17"/>
      <c r="J27" s="17">
        <f>J23</f>
        <v>0</v>
      </c>
      <c r="K27" s="17">
        <f>K23</f>
        <v>0</v>
      </c>
      <c r="L27" s="17">
        <f>L23</f>
        <v>0</v>
      </c>
      <c r="M27" s="17">
        <f>M23</f>
        <v>0</v>
      </c>
      <c r="N27" s="17">
        <f>N23</f>
        <v>0</v>
      </c>
      <c r="O27" s="17">
        <f>O23-O25</f>
        <v>-29572</v>
      </c>
    </row>
    <row r="28" spans="12:13" ht="14.25" thickBot="1" thickTop="1">
      <c r="L28" s="36">
        <f>SUM(L27:M27)</f>
        <v>0</v>
      </c>
      <c r="M28" s="36"/>
    </row>
    <row r="29" spans="4:5" ht="14.25" thickBot="1" thickTop="1">
      <c r="D29" s="27">
        <f>D23-D27</f>
        <v>951818</v>
      </c>
      <c r="E29" s="27">
        <f>-E23+D25</f>
        <v>951818</v>
      </c>
    </row>
    <row r="30" spans="1:5" ht="12.75" hidden="1">
      <c r="A30" t="s">
        <v>44</v>
      </c>
      <c r="B30" t="s">
        <v>45</v>
      </c>
      <c r="C30" s="1"/>
      <c r="D30" t="s">
        <v>53</v>
      </c>
      <c r="E30" t="s">
        <v>6</v>
      </c>
    </row>
    <row r="31" spans="1:4" ht="12.75" hidden="1">
      <c r="A31">
        <v>9015</v>
      </c>
      <c r="B31" t="s">
        <v>46</v>
      </c>
      <c r="C31" s="1"/>
      <c r="D31">
        <v>15000</v>
      </c>
    </row>
    <row r="32" spans="2:5" ht="12.75" hidden="1">
      <c r="B32" t="s">
        <v>47</v>
      </c>
      <c r="C32" s="1"/>
      <c r="D32">
        <v>-5000</v>
      </c>
      <c r="E32">
        <v>5000</v>
      </c>
    </row>
    <row r="33" ht="12.75" hidden="1">
      <c r="B33" t="s">
        <v>48</v>
      </c>
    </row>
    <row r="34" spans="1:4" ht="12.75" hidden="1">
      <c r="A34">
        <v>9020</v>
      </c>
      <c r="B34" t="s">
        <v>55</v>
      </c>
      <c r="D34">
        <v>10000</v>
      </c>
    </row>
    <row r="35" spans="1:4" ht="12.75" hidden="1">
      <c r="A35">
        <v>9022</v>
      </c>
      <c r="B35" t="s">
        <v>49</v>
      </c>
      <c r="D35">
        <v>4000</v>
      </c>
    </row>
    <row r="36" spans="1:5" ht="12.75" hidden="1">
      <c r="A36">
        <v>9024</v>
      </c>
      <c r="B36" t="s">
        <v>52</v>
      </c>
      <c r="E36">
        <v>500</v>
      </c>
    </row>
    <row r="37" spans="1:4" ht="12.75" hidden="1">
      <c r="A37">
        <v>9025</v>
      </c>
      <c r="B37" t="s">
        <v>50</v>
      </c>
      <c r="D37">
        <v>500</v>
      </c>
    </row>
    <row r="38" spans="1:4" ht="12.75" hidden="1">
      <c r="A38">
        <v>9026</v>
      </c>
      <c r="B38" t="s">
        <v>54</v>
      </c>
      <c r="D38">
        <v>500</v>
      </c>
    </row>
    <row r="39" spans="1:4" ht="12.75" hidden="1">
      <c r="A39">
        <v>9027</v>
      </c>
      <c r="B39" t="s">
        <v>24</v>
      </c>
      <c r="D39">
        <v>3500</v>
      </c>
    </row>
    <row r="40" spans="1:2" ht="12.75" hidden="1">
      <c r="A40">
        <v>9028</v>
      </c>
      <c r="B40" t="s">
        <v>52</v>
      </c>
    </row>
    <row r="41" spans="1:4" ht="12.75" hidden="1">
      <c r="A41">
        <v>9029</v>
      </c>
      <c r="B41" t="s">
        <v>51</v>
      </c>
      <c r="D41">
        <v>1000</v>
      </c>
    </row>
    <row r="42" spans="1:4" ht="12.75" hidden="1">
      <c r="A42">
        <v>9030</v>
      </c>
      <c r="B42" t="s">
        <v>50</v>
      </c>
      <c r="D42">
        <v>5000</v>
      </c>
    </row>
    <row r="43" spans="1:4" ht="12.75" hidden="1">
      <c r="A43">
        <v>9031</v>
      </c>
      <c r="B43" t="s">
        <v>54</v>
      </c>
      <c r="D43">
        <v>500</v>
      </c>
    </row>
    <row r="44" spans="1:5" ht="12.75" hidden="1">
      <c r="A44">
        <v>9032</v>
      </c>
      <c r="B44" t="s">
        <v>52</v>
      </c>
      <c r="E44">
        <v>1000</v>
      </c>
    </row>
    <row r="45" spans="3:6" ht="12.75" hidden="1">
      <c r="C45" s="19">
        <f>SUM(D45:E45)</f>
        <v>41500</v>
      </c>
      <c r="D45" s="25">
        <f>SUM(D31:D44)</f>
        <v>35000</v>
      </c>
      <c r="E45" s="25">
        <f>SUM(E31:E44)</f>
        <v>6500</v>
      </c>
      <c r="F45" s="1"/>
    </row>
    <row r="46" spans="2:5" ht="12.75">
      <c r="B46" s="23" t="s">
        <v>102</v>
      </c>
      <c r="D46" s="26">
        <v>886735</v>
      </c>
      <c r="E46" s="26"/>
    </row>
    <row r="47" spans="2:4" ht="12.75">
      <c r="B47" s="23" t="s">
        <v>103</v>
      </c>
      <c r="D47" s="28">
        <v>866388</v>
      </c>
    </row>
    <row r="48" spans="2:4" ht="13.5" thickBot="1">
      <c r="B48" s="23" t="s">
        <v>80</v>
      </c>
      <c r="D48" s="16">
        <f>D46-D47</f>
        <v>20347</v>
      </c>
    </row>
    <row r="49" ht="13.5" thickTop="1"/>
    <row r="50" spans="2:4" ht="12.75">
      <c r="B50" s="23" t="s">
        <v>95</v>
      </c>
      <c r="D50">
        <v>37470</v>
      </c>
    </row>
    <row r="51" spans="2:29" ht="12.75">
      <c r="B51" s="23" t="s">
        <v>104</v>
      </c>
      <c r="D51" s="23">
        <v>-33562</v>
      </c>
      <c r="Z51" s="1"/>
      <c r="AA51" s="1"/>
      <c r="AB51" s="1"/>
      <c r="AC51" s="1"/>
    </row>
    <row r="52" spans="2:29" ht="12.75">
      <c r="B52" s="23" t="s">
        <v>96</v>
      </c>
      <c r="D52" s="19">
        <f>SUM(D50:D51)</f>
        <v>3908</v>
      </c>
      <c r="Z52" s="1"/>
      <c r="AA52" s="1"/>
      <c r="AB52" s="1"/>
      <c r="AC52" s="1"/>
    </row>
    <row r="53" spans="26:29" ht="12.75">
      <c r="Z53" s="1"/>
      <c r="AA53" s="1"/>
      <c r="AB53" s="1"/>
      <c r="AC53" s="1"/>
    </row>
  </sheetData>
  <sheetProtection/>
  <mergeCells count="5">
    <mergeCell ref="J4:K4"/>
    <mergeCell ref="U24:V24"/>
    <mergeCell ref="AA24:AB24"/>
    <mergeCell ref="D27:E27"/>
    <mergeCell ref="L28:M28"/>
  </mergeCells>
  <printOptions/>
  <pageMargins left="0.1968503937007874" right="0.2362204724409449" top="0.2755905511811024" bottom="0.6299212598425197" header="0.1968503937007874" footer="0.2362204724409449"/>
  <pageSetup fitToWidth="2" horizontalDpi="300" verticalDpi="300" orientation="landscape" paperSize="9" scale="77" r:id="rId1"/>
  <headerFooter alignWithMargins="0">
    <oddFooter>&amp;LPrepared by:
Accounting Solutions
&amp;"Arial,Italic"&amp;8from&amp;"Arial,Regular"&amp;10 DCK Beavers Ltd&amp;CFor:
Bradley Stoke Town Council&amp;R&amp;T
&amp;D</oddFooter>
  </headerFooter>
  <colBreaks count="1" manualBreakCount="1">
    <brk id="15" max="4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6.421875" style="0" customWidth="1"/>
    <col min="2" max="2" width="23.140625" style="0" customWidth="1"/>
    <col min="3" max="3" width="14.28125" style="0" customWidth="1"/>
    <col min="5" max="5" width="9.00390625" style="0" customWidth="1"/>
    <col min="6" max="6" width="10.57421875" style="0" customWidth="1"/>
    <col min="7" max="7" width="3.8515625" style="0" customWidth="1"/>
    <col min="13" max="13" width="7.57421875" style="0" bestFit="1" customWidth="1"/>
    <col min="14" max="14" width="8.7109375" style="0" customWidth="1"/>
    <col min="15" max="15" width="10.8515625" style="0" bestFit="1" customWidth="1"/>
    <col min="16" max="16" width="9.57421875" style="0" bestFit="1" customWidth="1"/>
    <col min="17" max="17" width="10.7109375" style="0" bestFit="1" customWidth="1"/>
    <col min="18" max="18" width="10.8515625" style="0" bestFit="1" customWidth="1"/>
    <col min="19" max="19" width="6.57421875" style="0" bestFit="1" customWidth="1"/>
    <col min="20" max="21" width="6.57421875" style="0" customWidth="1"/>
    <col min="23" max="23" width="6.28125" style="0" customWidth="1"/>
    <col min="24" max="24" width="6.00390625" style="0" bestFit="1" customWidth="1"/>
    <col min="25" max="25" width="7.7109375" style="0" customWidth="1"/>
  </cols>
  <sheetData>
    <row r="1" spans="1:5" ht="12.75">
      <c r="A1" s="2" t="s">
        <v>0</v>
      </c>
      <c r="E1" s="2" t="s">
        <v>67</v>
      </c>
    </row>
    <row r="2" spans="1:5" ht="12.75">
      <c r="A2" s="2"/>
      <c r="E2" s="2"/>
    </row>
    <row r="3" spans="1:12" ht="13.5" thickBot="1">
      <c r="A3" s="2"/>
      <c r="B3" s="2"/>
      <c r="C3" s="2"/>
      <c r="D3" s="3" t="s">
        <v>2</v>
      </c>
      <c r="E3" s="3"/>
      <c r="F3" s="3"/>
      <c r="G3" s="3"/>
      <c r="H3" s="3"/>
      <c r="I3" s="3"/>
      <c r="J3" s="3"/>
      <c r="K3" s="4"/>
      <c r="L3" s="4"/>
    </row>
    <row r="4" spans="3:25" ht="13.5" thickBot="1">
      <c r="C4" s="4" t="s">
        <v>3</v>
      </c>
      <c r="D4" s="4" t="s">
        <v>4</v>
      </c>
      <c r="E4" s="4" t="s">
        <v>5</v>
      </c>
      <c r="F4" s="4" t="s">
        <v>6</v>
      </c>
      <c r="G4" s="4"/>
      <c r="H4" s="33" t="s">
        <v>57</v>
      </c>
      <c r="I4" s="33"/>
      <c r="J4" s="4" t="s">
        <v>8</v>
      </c>
      <c r="K4" s="4" t="s">
        <v>9</v>
      </c>
      <c r="L4" s="4" t="s">
        <v>10</v>
      </c>
      <c r="N4" s="5" t="s">
        <v>11</v>
      </c>
      <c r="O4" s="6" t="s">
        <v>12</v>
      </c>
      <c r="P4" s="7" t="s">
        <v>13</v>
      </c>
      <c r="Q4" s="8" t="s">
        <v>14</v>
      </c>
      <c r="R4" s="9" t="s">
        <v>15</v>
      </c>
      <c r="S4" s="10" t="s">
        <v>16</v>
      </c>
      <c r="T4" s="10" t="s">
        <v>62</v>
      </c>
      <c r="U4" s="10" t="s">
        <v>17</v>
      </c>
      <c r="V4" s="9" t="s">
        <v>18</v>
      </c>
      <c r="W4" s="9" t="s">
        <v>19</v>
      </c>
      <c r="X4" s="9" t="s">
        <v>20</v>
      </c>
      <c r="Y4" s="5" t="s">
        <v>9</v>
      </c>
    </row>
    <row r="5" spans="8:25" ht="12.75">
      <c r="H5" s="4" t="s">
        <v>58</v>
      </c>
      <c r="I5" s="4" t="s">
        <v>59</v>
      </c>
      <c r="J5" t="s">
        <v>60</v>
      </c>
      <c r="O5" s="11"/>
      <c r="P5" s="12"/>
      <c r="Q5" s="1"/>
      <c r="R5" s="12"/>
      <c r="S5" s="12"/>
      <c r="T5" s="12"/>
      <c r="U5" s="12"/>
      <c r="V5" s="1"/>
      <c r="W5" s="13"/>
      <c r="X5" s="13"/>
      <c r="Y5" s="13"/>
    </row>
    <row r="6" spans="1:23" ht="12" customHeight="1">
      <c r="A6">
        <v>101</v>
      </c>
      <c r="B6" t="s">
        <v>21</v>
      </c>
      <c r="C6" s="14"/>
      <c r="D6">
        <v>90575</v>
      </c>
      <c r="E6">
        <f>-54905-900</f>
        <v>-55805</v>
      </c>
      <c r="G6" s="14" t="s">
        <v>22</v>
      </c>
      <c r="J6">
        <v>25390</v>
      </c>
      <c r="L6">
        <f aca="true" t="shared" si="0" ref="L6:L22">SUM(D6:K6)</f>
        <v>60160</v>
      </c>
      <c r="N6">
        <f aca="true" t="shared" si="1" ref="N6:N22">SUM(O6:P6)</f>
        <v>60160</v>
      </c>
      <c r="O6" s="11">
        <f>L6</f>
        <v>60160</v>
      </c>
      <c r="P6" s="1"/>
      <c r="Q6" s="1"/>
      <c r="R6" s="1"/>
      <c r="S6" s="1"/>
      <c r="T6" s="1"/>
      <c r="W6" s="1"/>
    </row>
    <row r="7" spans="1:24" ht="12" customHeight="1">
      <c r="A7">
        <v>102</v>
      </c>
      <c r="B7" t="s">
        <v>54</v>
      </c>
      <c r="C7" s="14"/>
      <c r="D7">
        <v>38540</v>
      </c>
      <c r="E7">
        <v>-32445</v>
      </c>
      <c r="G7" s="14" t="s">
        <v>22</v>
      </c>
      <c r="H7">
        <f>-H16</f>
        <v>107855</v>
      </c>
      <c r="J7">
        <v>15757</v>
      </c>
      <c r="L7">
        <f t="shared" si="0"/>
        <v>129707</v>
      </c>
      <c r="N7">
        <f t="shared" si="1"/>
        <v>129707</v>
      </c>
      <c r="O7" s="11">
        <f>L7</f>
        <v>129707</v>
      </c>
      <c r="P7" s="1"/>
      <c r="Q7" s="1"/>
      <c r="R7" s="1"/>
      <c r="S7" s="1"/>
      <c r="T7" s="1"/>
      <c r="U7" s="1"/>
      <c r="X7" s="1"/>
    </row>
    <row r="8" spans="1:24" ht="12" customHeight="1">
      <c r="A8">
        <v>103</v>
      </c>
      <c r="B8" t="s">
        <v>24</v>
      </c>
      <c r="C8" s="14"/>
      <c r="D8">
        <v>73775</v>
      </c>
      <c r="E8">
        <v>-21500</v>
      </c>
      <c r="G8" s="14" t="s">
        <v>22</v>
      </c>
      <c r="J8">
        <v>19470</v>
      </c>
      <c r="L8">
        <f t="shared" si="0"/>
        <v>71745</v>
      </c>
      <c r="N8">
        <f t="shared" si="1"/>
        <v>71745</v>
      </c>
      <c r="O8" s="11">
        <f>L8</f>
        <v>71745</v>
      </c>
      <c r="P8" s="1"/>
      <c r="Q8" s="1"/>
      <c r="R8" s="1"/>
      <c r="S8" s="1"/>
      <c r="T8" s="1"/>
      <c r="U8" s="1"/>
      <c r="X8" s="1"/>
    </row>
    <row r="9" spans="2:24" ht="12" customHeight="1">
      <c r="B9" t="s">
        <v>25</v>
      </c>
      <c r="C9" s="14">
        <v>5084</v>
      </c>
      <c r="D9">
        <v>0</v>
      </c>
      <c r="G9" s="14"/>
      <c r="L9">
        <f t="shared" si="0"/>
        <v>0</v>
      </c>
      <c r="N9">
        <f t="shared" si="1"/>
        <v>0</v>
      </c>
      <c r="O9" s="11"/>
      <c r="P9" s="1">
        <f>L9</f>
        <v>0</v>
      </c>
      <c r="Q9" s="1"/>
      <c r="R9" s="1"/>
      <c r="S9" s="1"/>
      <c r="T9" s="1"/>
      <c r="U9" s="1"/>
      <c r="X9" s="1"/>
    </row>
    <row r="10" spans="1:24" ht="12" customHeight="1">
      <c r="A10">
        <v>201</v>
      </c>
      <c r="B10" t="s">
        <v>26</v>
      </c>
      <c r="C10" s="14" t="s">
        <v>27</v>
      </c>
      <c r="D10">
        <f>2800+3100+50</f>
        <v>5950</v>
      </c>
      <c r="J10">
        <v>25011</v>
      </c>
      <c r="L10">
        <f t="shared" si="0"/>
        <v>30961</v>
      </c>
      <c r="N10">
        <f t="shared" si="1"/>
        <v>0</v>
      </c>
      <c r="O10" s="11"/>
      <c r="P10" s="1"/>
      <c r="Q10" s="1">
        <f>L10</f>
        <v>30961</v>
      </c>
      <c r="R10" s="1"/>
      <c r="S10" s="1"/>
      <c r="T10" s="1"/>
      <c r="U10" s="1"/>
      <c r="X10" s="1"/>
    </row>
    <row r="11" spans="1:24" ht="12" customHeight="1">
      <c r="A11">
        <v>202</v>
      </c>
      <c r="B11" t="s">
        <v>28</v>
      </c>
      <c r="C11" s="14" t="s">
        <v>29</v>
      </c>
      <c r="D11">
        <v>0</v>
      </c>
      <c r="J11">
        <v>1946</v>
      </c>
      <c r="L11">
        <f t="shared" si="0"/>
        <v>1946</v>
      </c>
      <c r="N11">
        <f t="shared" si="1"/>
        <v>0</v>
      </c>
      <c r="O11" s="11"/>
      <c r="P11" s="1"/>
      <c r="Q11" s="1">
        <f>$L11</f>
        <v>1946</v>
      </c>
      <c r="R11" s="1"/>
      <c r="S11" s="1"/>
      <c r="T11" s="1"/>
      <c r="U11" s="1"/>
      <c r="X11" s="1"/>
    </row>
    <row r="12" spans="1:24" ht="12" customHeight="1">
      <c r="A12">
        <v>206</v>
      </c>
      <c r="B12" t="s">
        <v>30</v>
      </c>
      <c r="C12" s="20" t="s">
        <v>68</v>
      </c>
      <c r="D12">
        <f>6000+13905+96000+5500</f>
        <v>121405</v>
      </c>
      <c r="L12">
        <f t="shared" si="0"/>
        <v>121405</v>
      </c>
      <c r="N12">
        <f t="shared" si="1"/>
        <v>0</v>
      </c>
      <c r="O12" s="11"/>
      <c r="P12" s="1"/>
      <c r="Q12" s="1"/>
      <c r="R12" s="1">
        <f>$L12</f>
        <v>121405</v>
      </c>
      <c r="S12" s="1"/>
      <c r="T12" s="1"/>
      <c r="U12" s="1"/>
      <c r="X12" s="1"/>
    </row>
    <row r="13" spans="1:21" ht="12" customHeight="1">
      <c r="A13">
        <v>401</v>
      </c>
      <c r="B13" t="s">
        <v>16</v>
      </c>
      <c r="C13" s="14" t="s">
        <v>32</v>
      </c>
      <c r="D13">
        <f>4620+6420+7580+4300</f>
        <v>22920</v>
      </c>
      <c r="J13">
        <v>14091</v>
      </c>
      <c r="L13">
        <f t="shared" si="0"/>
        <v>37011</v>
      </c>
      <c r="N13">
        <f t="shared" si="1"/>
        <v>0</v>
      </c>
      <c r="O13" s="11"/>
      <c r="P13" s="1"/>
      <c r="Q13" s="1"/>
      <c r="R13" s="1"/>
      <c r="S13" s="1">
        <f>$L13</f>
        <v>37011</v>
      </c>
      <c r="T13" s="1"/>
      <c r="U13" s="1"/>
    </row>
    <row r="14" spans="2:21" ht="12" customHeight="1">
      <c r="B14" t="s">
        <v>33</v>
      </c>
      <c r="C14" s="14" t="s">
        <v>56</v>
      </c>
      <c r="D14">
        <f>34000</f>
        <v>34000</v>
      </c>
      <c r="L14">
        <f t="shared" si="0"/>
        <v>34000</v>
      </c>
      <c r="N14">
        <f t="shared" si="1"/>
        <v>0</v>
      </c>
      <c r="O14" s="11"/>
      <c r="P14" s="1"/>
      <c r="Q14" s="1"/>
      <c r="R14" s="1"/>
      <c r="S14" s="1"/>
      <c r="T14" s="1"/>
      <c r="U14" s="1">
        <f>$L14</f>
        <v>34000</v>
      </c>
    </row>
    <row r="15" spans="2:21" ht="12" customHeight="1">
      <c r="B15" t="s">
        <v>63</v>
      </c>
      <c r="C15" s="14">
        <v>9041</v>
      </c>
      <c r="L15">
        <f t="shared" si="0"/>
        <v>0</v>
      </c>
      <c r="N15">
        <f t="shared" si="1"/>
        <v>0</v>
      </c>
      <c r="O15" s="11"/>
      <c r="P15" s="1"/>
      <c r="Q15" s="1"/>
      <c r="R15" s="1"/>
      <c r="S15" s="1"/>
      <c r="T15" s="1">
        <f>$L15</f>
        <v>0</v>
      </c>
      <c r="U15" s="1"/>
    </row>
    <row r="16" spans="2:22" ht="12" customHeight="1">
      <c r="B16" t="s">
        <v>34</v>
      </c>
      <c r="C16" s="14"/>
      <c r="D16">
        <f>652387-SUM(D9:D14)-SUM(D18:D19)</f>
        <v>456305</v>
      </c>
      <c r="E16">
        <v>-100</v>
      </c>
      <c r="H16" s="21">
        <v>-107855</v>
      </c>
      <c r="J16">
        <v>9377</v>
      </c>
      <c r="L16">
        <f t="shared" si="0"/>
        <v>357727</v>
      </c>
      <c r="N16">
        <f t="shared" si="1"/>
        <v>0</v>
      </c>
      <c r="O16" s="11"/>
      <c r="P16" s="1"/>
      <c r="Q16" s="1"/>
      <c r="R16" s="1"/>
      <c r="S16" s="1"/>
      <c r="T16" s="1"/>
      <c r="U16" s="1"/>
      <c r="V16" s="1">
        <f>$L16</f>
        <v>357727</v>
      </c>
    </row>
    <row r="17" spans="1:22" ht="12" customHeight="1">
      <c r="A17">
        <v>901</v>
      </c>
      <c r="B17" t="s">
        <v>35</v>
      </c>
      <c r="C17" s="14"/>
      <c r="L17">
        <f t="shared" si="0"/>
        <v>0</v>
      </c>
      <c r="N17">
        <f t="shared" si="1"/>
        <v>0</v>
      </c>
      <c r="O17" s="11"/>
      <c r="P17" s="1"/>
      <c r="Q17" s="1"/>
      <c r="R17" s="1"/>
      <c r="S17" s="1"/>
      <c r="T17" s="1"/>
      <c r="U17" s="1"/>
      <c r="V17" s="1">
        <f>$L17</f>
        <v>0</v>
      </c>
    </row>
    <row r="18" spans="1:23" ht="12" customHeight="1">
      <c r="A18">
        <v>902</v>
      </c>
      <c r="B18" t="s">
        <v>36</v>
      </c>
      <c r="C18" s="14">
        <v>5086</v>
      </c>
      <c r="D18">
        <v>11107</v>
      </c>
      <c r="J18">
        <v>579</v>
      </c>
      <c r="L18">
        <f t="shared" si="0"/>
        <v>11686</v>
      </c>
      <c r="N18">
        <f t="shared" si="1"/>
        <v>0</v>
      </c>
      <c r="O18" s="11"/>
      <c r="P18" s="1"/>
      <c r="Q18" s="1"/>
      <c r="R18" s="1"/>
      <c r="S18" s="1"/>
      <c r="T18" s="1"/>
      <c r="U18" s="1"/>
      <c r="W18" s="1">
        <f>$L18</f>
        <v>11686</v>
      </c>
    </row>
    <row r="19" spans="1:24" ht="12" customHeight="1">
      <c r="A19">
        <v>903</v>
      </c>
      <c r="B19" t="s">
        <v>20</v>
      </c>
      <c r="C19" s="14">
        <v>5073</v>
      </c>
      <c r="D19">
        <v>700</v>
      </c>
      <c r="L19">
        <f t="shared" si="0"/>
        <v>700</v>
      </c>
      <c r="N19">
        <f t="shared" si="1"/>
        <v>0</v>
      </c>
      <c r="O19" s="11"/>
      <c r="P19" s="1"/>
      <c r="Q19" s="1"/>
      <c r="R19" s="1"/>
      <c r="S19" s="1"/>
      <c r="T19" s="1"/>
      <c r="U19" s="1"/>
      <c r="X19" s="1">
        <f>$L19</f>
        <v>700</v>
      </c>
    </row>
    <row r="20" spans="2:21" ht="12" customHeight="1">
      <c r="B20" t="s">
        <v>37</v>
      </c>
      <c r="C20" s="14"/>
      <c r="D20">
        <v>95557</v>
      </c>
      <c r="F20">
        <f>-D20</f>
        <v>-95557</v>
      </c>
      <c r="L20">
        <f t="shared" si="0"/>
        <v>0</v>
      </c>
      <c r="N20">
        <f t="shared" si="1"/>
        <v>0</v>
      </c>
      <c r="O20" s="11"/>
      <c r="P20" s="1"/>
      <c r="Q20" s="1"/>
      <c r="R20" s="1"/>
      <c r="S20" s="1"/>
      <c r="T20" s="1"/>
      <c r="U20" s="1"/>
    </row>
    <row r="21" spans="2:21" ht="12" customHeight="1">
      <c r="B21" t="s">
        <v>66</v>
      </c>
      <c r="C21" s="14"/>
      <c r="F21">
        <f>-D21</f>
        <v>0</v>
      </c>
      <c r="L21">
        <f t="shared" si="0"/>
        <v>0</v>
      </c>
      <c r="O21" s="11"/>
      <c r="P21" s="1"/>
      <c r="Q21" s="1"/>
      <c r="R21" s="1"/>
      <c r="S21" s="1"/>
      <c r="T21" s="1"/>
      <c r="U21" s="1"/>
    </row>
    <row r="22" spans="2:25" ht="12.75">
      <c r="B22" t="s">
        <v>9</v>
      </c>
      <c r="C22" s="14"/>
      <c r="E22">
        <v>-41300</v>
      </c>
      <c r="L22">
        <f t="shared" si="0"/>
        <v>-41300</v>
      </c>
      <c r="N22">
        <f t="shared" si="1"/>
        <v>0</v>
      </c>
      <c r="O22" s="11"/>
      <c r="P22" s="1"/>
      <c r="Q22" s="15"/>
      <c r="R22" s="1"/>
      <c r="S22" s="1"/>
      <c r="T22" s="1"/>
      <c r="U22" s="1"/>
      <c r="Y22" s="1">
        <f>$L22</f>
        <v>-41300</v>
      </c>
    </row>
    <row r="23" spans="4:25" ht="13.5" thickBot="1">
      <c r="D23" s="16">
        <f>SUM(D6:D22)</f>
        <v>950834</v>
      </c>
      <c r="E23" s="16">
        <f>SUM(E6:E22)</f>
        <v>-151150</v>
      </c>
      <c r="F23" s="16">
        <f>SUM(F6:F22)</f>
        <v>-95557</v>
      </c>
      <c r="G23" s="16"/>
      <c r="H23" s="16">
        <f>SUM(H6:H22)</f>
        <v>0</v>
      </c>
      <c r="I23" s="16">
        <f>SUM(I6:I22)</f>
        <v>0</v>
      </c>
      <c r="J23" s="16">
        <f>SUM(J6:J22)</f>
        <v>111621</v>
      </c>
      <c r="K23" s="16">
        <f>SUM(K6:K22)</f>
        <v>0</v>
      </c>
      <c r="L23" s="16">
        <f>SUM(L6:L22)</f>
        <v>815748</v>
      </c>
      <c r="N23" s="16">
        <f aca="true" t="shared" si="2" ref="N23:Y23">SUM(N5:N22)</f>
        <v>261612</v>
      </c>
      <c r="O23" s="16">
        <f t="shared" si="2"/>
        <v>261612</v>
      </c>
      <c r="P23" s="16">
        <f t="shared" si="2"/>
        <v>0</v>
      </c>
      <c r="Q23" s="17">
        <f t="shared" si="2"/>
        <v>32907</v>
      </c>
      <c r="R23" s="16">
        <f t="shared" si="2"/>
        <v>121405</v>
      </c>
      <c r="S23" s="16">
        <f t="shared" si="2"/>
        <v>37011</v>
      </c>
      <c r="T23" s="16">
        <f t="shared" si="2"/>
        <v>0</v>
      </c>
      <c r="U23" s="16">
        <f t="shared" si="2"/>
        <v>34000</v>
      </c>
      <c r="V23" s="16">
        <f t="shared" si="2"/>
        <v>357727</v>
      </c>
      <c r="W23" s="16">
        <f t="shared" si="2"/>
        <v>11686</v>
      </c>
      <c r="X23" s="16">
        <f t="shared" si="2"/>
        <v>700</v>
      </c>
      <c r="Y23" s="16">
        <f t="shared" si="2"/>
        <v>-41300</v>
      </c>
    </row>
    <row r="24" spans="14:25" ht="14.25" thickBot="1" thickTop="1">
      <c r="N24" s="18">
        <f>N23</f>
        <v>261612</v>
      </c>
      <c r="O24" s="1"/>
      <c r="P24" s="1"/>
      <c r="Q24" s="18">
        <f aca="true" t="shared" si="3" ref="Q24:V24">Q23</f>
        <v>32907</v>
      </c>
      <c r="R24" s="18">
        <f t="shared" si="3"/>
        <v>121405</v>
      </c>
      <c r="S24" s="18">
        <f t="shared" si="3"/>
        <v>37011</v>
      </c>
      <c r="T24" s="18">
        <f t="shared" si="3"/>
        <v>0</v>
      </c>
      <c r="U24" s="18">
        <f t="shared" si="3"/>
        <v>34000</v>
      </c>
      <c r="V24" s="18">
        <f t="shared" si="3"/>
        <v>357727</v>
      </c>
      <c r="W24" s="34">
        <f>W23+X23</f>
        <v>12386</v>
      </c>
      <c r="X24" s="34"/>
      <c r="Y24" s="18">
        <f>Y23</f>
        <v>-41300</v>
      </c>
    </row>
    <row r="25" spans="1:13" ht="14.25" thickBot="1" thickTop="1">
      <c r="A25" t="s">
        <v>39</v>
      </c>
      <c r="D25" s="17">
        <v>734769</v>
      </c>
      <c r="F25" s="1"/>
      <c r="G25" s="1"/>
      <c r="L25" s="17">
        <f>D25</f>
        <v>734769</v>
      </c>
      <c r="M25" s="17">
        <f>SUM(N24:Y24)</f>
        <v>815748</v>
      </c>
    </row>
    <row r="26" spans="1:11" ht="13.5" thickTop="1">
      <c r="A26" t="s">
        <v>40</v>
      </c>
      <c r="K26" s="1"/>
    </row>
    <row r="27" spans="1:12" ht="13.5" thickBot="1">
      <c r="A27" t="s">
        <v>41</v>
      </c>
      <c r="D27" s="35">
        <f>D23-D25+E23</f>
        <v>64915</v>
      </c>
      <c r="E27" s="35"/>
      <c r="F27" s="17">
        <f>F23</f>
        <v>-95557</v>
      </c>
      <c r="G27" s="17"/>
      <c r="H27" s="17">
        <f>H23</f>
        <v>0</v>
      </c>
      <c r="I27" s="17"/>
      <c r="J27" s="17">
        <f>J23</f>
        <v>111621</v>
      </c>
      <c r="K27" s="17">
        <f>K23</f>
        <v>0</v>
      </c>
      <c r="L27" s="17">
        <f>L23-L25</f>
        <v>80979</v>
      </c>
    </row>
    <row r="28" ht="13.5" thickTop="1"/>
    <row r="30" spans="1:5" ht="12.75" hidden="1">
      <c r="A30" t="s">
        <v>44</v>
      </c>
      <c r="B30" t="s">
        <v>45</v>
      </c>
      <c r="C30" s="1"/>
      <c r="D30" t="s">
        <v>53</v>
      </c>
      <c r="E30" t="s">
        <v>6</v>
      </c>
    </row>
    <row r="31" spans="1:4" ht="12.75" hidden="1">
      <c r="A31">
        <v>9015</v>
      </c>
      <c r="B31" t="s">
        <v>46</v>
      </c>
      <c r="C31" s="1"/>
      <c r="D31">
        <v>15000</v>
      </c>
    </row>
    <row r="32" spans="2:5" ht="12.75" hidden="1">
      <c r="B32" t="s">
        <v>47</v>
      </c>
      <c r="C32" s="1"/>
      <c r="D32">
        <v>-5000</v>
      </c>
      <c r="E32">
        <v>5000</v>
      </c>
    </row>
    <row r="33" ht="12.75" hidden="1">
      <c r="B33" t="s">
        <v>48</v>
      </c>
    </row>
    <row r="34" spans="1:4" ht="12.75" hidden="1">
      <c r="A34">
        <v>9020</v>
      </c>
      <c r="B34" t="s">
        <v>55</v>
      </c>
      <c r="D34">
        <v>10000</v>
      </c>
    </row>
    <row r="35" spans="1:4" ht="12.75" hidden="1">
      <c r="A35">
        <v>9022</v>
      </c>
      <c r="B35" t="s">
        <v>49</v>
      </c>
      <c r="D35">
        <v>4000</v>
      </c>
    </row>
    <row r="36" spans="1:5" ht="12.75" hidden="1">
      <c r="A36">
        <v>9024</v>
      </c>
      <c r="B36" t="s">
        <v>52</v>
      </c>
      <c r="E36">
        <v>500</v>
      </c>
    </row>
    <row r="37" spans="1:4" ht="12.75" hidden="1">
      <c r="A37">
        <v>9025</v>
      </c>
      <c r="B37" t="s">
        <v>50</v>
      </c>
      <c r="D37">
        <v>500</v>
      </c>
    </row>
    <row r="38" spans="1:4" ht="12.75" hidden="1">
      <c r="A38">
        <v>9026</v>
      </c>
      <c r="B38" t="s">
        <v>54</v>
      </c>
      <c r="D38">
        <v>500</v>
      </c>
    </row>
    <row r="39" spans="1:4" ht="12.75" hidden="1">
      <c r="A39">
        <v>9027</v>
      </c>
      <c r="B39" t="s">
        <v>24</v>
      </c>
      <c r="D39">
        <v>3500</v>
      </c>
    </row>
    <row r="40" spans="1:2" ht="12.75" hidden="1">
      <c r="A40">
        <v>9028</v>
      </c>
      <c r="B40" t="s">
        <v>52</v>
      </c>
    </row>
    <row r="41" spans="1:4" ht="12.75" hidden="1">
      <c r="A41">
        <v>9029</v>
      </c>
      <c r="B41" t="s">
        <v>51</v>
      </c>
      <c r="D41">
        <v>1000</v>
      </c>
    </row>
    <row r="42" spans="1:4" ht="12.75" hidden="1">
      <c r="A42">
        <v>9030</v>
      </c>
      <c r="B42" t="s">
        <v>50</v>
      </c>
      <c r="D42">
        <v>5000</v>
      </c>
    </row>
    <row r="43" spans="1:4" ht="12.75" hidden="1">
      <c r="A43">
        <v>9031</v>
      </c>
      <c r="B43" t="s">
        <v>54</v>
      </c>
      <c r="D43">
        <v>500</v>
      </c>
    </row>
    <row r="44" spans="1:5" ht="12.75" hidden="1">
      <c r="A44">
        <v>9032</v>
      </c>
      <c r="B44" t="s">
        <v>52</v>
      </c>
      <c r="E44">
        <v>1000</v>
      </c>
    </row>
    <row r="45" spans="3:5" ht="12.75" hidden="1">
      <c r="C45" s="19">
        <f>SUM(D45:E45)</f>
        <v>41500</v>
      </c>
      <c r="D45" s="19">
        <f>SUM(D31:D44)</f>
        <v>35000</v>
      </c>
      <c r="E45" s="19">
        <f>SUM(E31:E44)</f>
        <v>6500</v>
      </c>
    </row>
    <row r="51" spans="22:25" ht="12.75">
      <c r="V51" s="1"/>
      <c r="W51" s="1"/>
      <c r="X51" s="1"/>
      <c r="Y51" s="1"/>
    </row>
    <row r="52" spans="22:25" ht="12.75">
      <c r="V52" s="1"/>
      <c r="W52" s="1"/>
      <c r="X52" s="1"/>
      <c r="Y52" s="1"/>
    </row>
    <row r="53" spans="22:25" ht="12.75">
      <c r="V53" s="1"/>
      <c r="W53" s="1"/>
      <c r="X53" s="1"/>
      <c r="Y53" s="1"/>
    </row>
  </sheetData>
  <sheetProtection/>
  <mergeCells count="3">
    <mergeCell ref="H4:I4"/>
    <mergeCell ref="W24:X24"/>
    <mergeCell ref="D27:E27"/>
  </mergeCells>
  <printOptions/>
  <pageMargins left="0.2" right="0.22" top="0.27" bottom="0.62" header="0.2" footer="0.25"/>
  <pageSetup fitToHeight="1" fitToWidth="1" horizontalDpi="300" verticalDpi="300" orientation="landscape" paperSize="9" scale="64" r:id="rId1"/>
  <headerFooter alignWithMargins="0">
    <oddFooter>&amp;LPrepared by:
RBS Accounting Solutions&amp;CFor:
Bradley Stoke Town Council&amp;R&amp;T
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6.421875" style="0" customWidth="1"/>
    <col min="2" max="2" width="23.140625" style="0" customWidth="1"/>
    <col min="3" max="3" width="14.28125" style="0" customWidth="1"/>
    <col min="5" max="5" width="9.00390625" style="0" customWidth="1"/>
    <col min="6" max="6" width="10.57421875" style="0" customWidth="1"/>
    <col min="7" max="7" width="3.8515625" style="0" customWidth="1"/>
    <col min="13" max="13" width="7.57421875" style="0" bestFit="1" customWidth="1"/>
    <col min="14" max="14" width="8.7109375" style="0" customWidth="1"/>
    <col min="15" max="15" width="10.8515625" style="0" bestFit="1" customWidth="1"/>
    <col min="16" max="16" width="9.57421875" style="0" bestFit="1" customWidth="1"/>
    <col min="17" max="17" width="10.7109375" style="0" bestFit="1" customWidth="1"/>
    <col min="18" max="18" width="10.8515625" style="0" bestFit="1" customWidth="1"/>
    <col min="19" max="19" width="6.57421875" style="0" bestFit="1" customWidth="1"/>
    <col min="20" max="21" width="6.57421875" style="0" customWidth="1"/>
    <col min="23" max="23" width="6.28125" style="0" customWidth="1"/>
    <col min="24" max="24" width="6.00390625" style="0" bestFit="1" customWidth="1"/>
    <col min="25" max="25" width="7.7109375" style="0" customWidth="1"/>
  </cols>
  <sheetData>
    <row r="1" spans="1:5" ht="12.75">
      <c r="A1" s="2" t="s">
        <v>0</v>
      </c>
      <c r="E1" s="2" t="s">
        <v>64</v>
      </c>
    </row>
    <row r="2" spans="1:5" ht="12.75">
      <c r="A2" s="2"/>
      <c r="E2" s="2"/>
    </row>
    <row r="3" spans="1:12" ht="13.5" thickBot="1">
      <c r="A3" s="2"/>
      <c r="B3" s="2"/>
      <c r="C3" s="2"/>
      <c r="D3" s="3" t="s">
        <v>2</v>
      </c>
      <c r="E3" s="3"/>
      <c r="F3" s="3"/>
      <c r="G3" s="3"/>
      <c r="H3" s="3"/>
      <c r="I3" s="3"/>
      <c r="J3" s="3"/>
      <c r="K3" s="4"/>
      <c r="L3" s="4"/>
    </row>
    <row r="4" spans="3:25" ht="13.5" thickBot="1">
      <c r="C4" s="4" t="s">
        <v>3</v>
      </c>
      <c r="D4" s="4" t="s">
        <v>4</v>
      </c>
      <c r="E4" s="4" t="s">
        <v>5</v>
      </c>
      <c r="F4" s="4" t="s">
        <v>6</v>
      </c>
      <c r="G4" s="4"/>
      <c r="H4" s="33" t="s">
        <v>57</v>
      </c>
      <c r="I4" s="33"/>
      <c r="J4" s="4" t="s">
        <v>8</v>
      </c>
      <c r="K4" s="4" t="s">
        <v>9</v>
      </c>
      <c r="L4" s="4" t="s">
        <v>10</v>
      </c>
      <c r="N4" s="5" t="s">
        <v>11</v>
      </c>
      <c r="O4" s="6" t="s">
        <v>12</v>
      </c>
      <c r="P4" s="7" t="s">
        <v>13</v>
      </c>
      <c r="Q4" s="8" t="s">
        <v>14</v>
      </c>
      <c r="R4" s="9" t="s">
        <v>15</v>
      </c>
      <c r="S4" s="10" t="s">
        <v>16</v>
      </c>
      <c r="T4" s="10" t="s">
        <v>62</v>
      </c>
      <c r="U4" s="10" t="s">
        <v>17</v>
      </c>
      <c r="V4" s="9" t="s">
        <v>18</v>
      </c>
      <c r="W4" s="9" t="s">
        <v>19</v>
      </c>
      <c r="X4" s="9" t="s">
        <v>20</v>
      </c>
      <c r="Y4" s="5" t="s">
        <v>9</v>
      </c>
    </row>
    <row r="5" spans="8:25" ht="12.75">
      <c r="H5" s="4" t="s">
        <v>58</v>
      </c>
      <c r="I5" s="4" t="s">
        <v>59</v>
      </c>
      <c r="J5" t="s">
        <v>60</v>
      </c>
      <c r="O5" s="11"/>
      <c r="P5" s="12"/>
      <c r="Q5" s="1"/>
      <c r="R5" s="12"/>
      <c r="S5" s="12"/>
      <c r="T5" s="12"/>
      <c r="U5" s="12"/>
      <c r="V5" s="1"/>
      <c r="W5" s="13"/>
      <c r="X5" s="13"/>
      <c r="Y5" s="13"/>
    </row>
    <row r="6" spans="1:23" ht="12" customHeight="1">
      <c r="A6">
        <v>101</v>
      </c>
      <c r="B6" t="s">
        <v>21</v>
      </c>
      <c r="C6" s="14"/>
      <c r="D6">
        <v>86501</v>
      </c>
      <c r="E6">
        <f>-64100-900</f>
        <v>-65000</v>
      </c>
      <c r="G6" s="14" t="s">
        <v>22</v>
      </c>
      <c r="J6">
        <v>40728</v>
      </c>
      <c r="L6">
        <f aca="true" t="shared" si="0" ref="L6:L22">SUM(D6:K6)</f>
        <v>62229</v>
      </c>
      <c r="N6">
        <f aca="true" t="shared" si="1" ref="N6:N22">SUM(O6:P6)</f>
        <v>62229</v>
      </c>
      <c r="O6" s="11">
        <f>L6</f>
        <v>62229</v>
      </c>
      <c r="P6" s="1"/>
      <c r="Q6" s="1"/>
      <c r="R6" s="1"/>
      <c r="S6" s="1"/>
      <c r="T6" s="1"/>
      <c r="W6" s="1"/>
    </row>
    <row r="7" spans="1:24" ht="12" customHeight="1">
      <c r="A7">
        <v>102</v>
      </c>
      <c r="B7" t="s">
        <v>54</v>
      </c>
      <c r="C7" s="14"/>
      <c r="D7">
        <v>33490</v>
      </c>
      <c r="E7">
        <v>-30900</v>
      </c>
      <c r="G7" s="14" t="s">
        <v>22</v>
      </c>
      <c r="H7">
        <f>-H16</f>
        <v>111800</v>
      </c>
      <c r="J7">
        <v>15333</v>
      </c>
      <c r="L7">
        <f t="shared" si="0"/>
        <v>129723</v>
      </c>
      <c r="N7">
        <f t="shared" si="1"/>
        <v>129723</v>
      </c>
      <c r="O7" s="11">
        <f>L7</f>
        <v>129723</v>
      </c>
      <c r="P7" s="1"/>
      <c r="Q7" s="1"/>
      <c r="R7" s="1"/>
      <c r="S7" s="1"/>
      <c r="T7" s="1"/>
      <c r="U7" s="1"/>
      <c r="X7" s="1"/>
    </row>
    <row r="8" spans="1:24" ht="12" customHeight="1">
      <c r="A8">
        <v>103</v>
      </c>
      <c r="B8" t="s">
        <v>24</v>
      </c>
      <c r="C8" s="14"/>
      <c r="D8">
        <v>60470</v>
      </c>
      <c r="E8">
        <v>-19425</v>
      </c>
      <c r="G8" s="14" t="s">
        <v>22</v>
      </c>
      <c r="J8">
        <v>27218</v>
      </c>
      <c r="L8">
        <f t="shared" si="0"/>
        <v>68263</v>
      </c>
      <c r="N8">
        <f t="shared" si="1"/>
        <v>68263</v>
      </c>
      <c r="O8" s="11">
        <f>L8</f>
        <v>68263</v>
      </c>
      <c r="P8" s="1"/>
      <c r="Q8" s="1"/>
      <c r="R8" s="1"/>
      <c r="S8" s="1"/>
      <c r="T8" s="1"/>
      <c r="U8" s="1"/>
      <c r="X8" s="1"/>
    </row>
    <row r="9" spans="2:24" ht="12" customHeight="1">
      <c r="B9" t="s">
        <v>25</v>
      </c>
      <c r="C9" s="14">
        <v>5084</v>
      </c>
      <c r="D9">
        <v>0</v>
      </c>
      <c r="G9" s="14"/>
      <c r="L9">
        <f t="shared" si="0"/>
        <v>0</v>
      </c>
      <c r="N9">
        <f t="shared" si="1"/>
        <v>0</v>
      </c>
      <c r="O9" s="11"/>
      <c r="P9" s="1">
        <f>L9</f>
        <v>0</v>
      </c>
      <c r="Q9" s="1"/>
      <c r="R9" s="1"/>
      <c r="S9" s="1"/>
      <c r="T9" s="1"/>
      <c r="U9" s="1"/>
      <c r="X9" s="1"/>
    </row>
    <row r="10" spans="1:24" ht="12" customHeight="1">
      <c r="A10">
        <v>201</v>
      </c>
      <c r="B10" t="s">
        <v>26</v>
      </c>
      <c r="C10" s="14" t="s">
        <v>27</v>
      </c>
      <c r="D10">
        <f>5500+2800+50</f>
        <v>8350</v>
      </c>
      <c r="J10">
        <v>27275</v>
      </c>
      <c r="L10">
        <f t="shared" si="0"/>
        <v>35625</v>
      </c>
      <c r="N10">
        <f t="shared" si="1"/>
        <v>0</v>
      </c>
      <c r="O10" s="11"/>
      <c r="P10" s="1"/>
      <c r="Q10" s="1">
        <f>L10</f>
        <v>35625</v>
      </c>
      <c r="R10" s="1"/>
      <c r="S10" s="1"/>
      <c r="T10" s="1"/>
      <c r="U10" s="1"/>
      <c r="X10" s="1"/>
    </row>
    <row r="11" spans="1:24" ht="12" customHeight="1">
      <c r="A11">
        <v>202</v>
      </c>
      <c r="B11" t="s">
        <v>28</v>
      </c>
      <c r="C11" s="14" t="s">
        <v>29</v>
      </c>
      <c r="D11">
        <v>0</v>
      </c>
      <c r="J11">
        <v>1985</v>
      </c>
      <c r="L11">
        <f t="shared" si="0"/>
        <v>1985</v>
      </c>
      <c r="N11">
        <f t="shared" si="1"/>
        <v>0</v>
      </c>
      <c r="O11" s="11"/>
      <c r="P11" s="1"/>
      <c r="Q11" s="1">
        <f>$L11</f>
        <v>1985</v>
      </c>
      <c r="R11" s="1"/>
      <c r="S11" s="1"/>
      <c r="T11" s="1"/>
      <c r="U11" s="1"/>
      <c r="X11" s="1"/>
    </row>
    <row r="12" spans="1:24" ht="12" customHeight="1">
      <c r="A12">
        <v>206</v>
      </c>
      <c r="B12" t="s">
        <v>30</v>
      </c>
      <c r="C12" s="14" t="s">
        <v>65</v>
      </c>
      <c r="D12">
        <f>6000+10850+98985</f>
        <v>115835</v>
      </c>
      <c r="L12">
        <f t="shared" si="0"/>
        <v>115835</v>
      </c>
      <c r="N12">
        <f t="shared" si="1"/>
        <v>0</v>
      </c>
      <c r="O12" s="11"/>
      <c r="P12" s="1"/>
      <c r="Q12" s="1"/>
      <c r="R12" s="1">
        <f>$L12</f>
        <v>115835</v>
      </c>
      <c r="S12" s="1"/>
      <c r="T12" s="1"/>
      <c r="U12" s="1"/>
      <c r="X12" s="1"/>
    </row>
    <row r="13" spans="1:21" ht="12" customHeight="1">
      <c r="A13">
        <v>401</v>
      </c>
      <c r="B13" t="s">
        <v>16</v>
      </c>
      <c r="C13" s="14" t="s">
        <v>32</v>
      </c>
      <c r="D13">
        <f>4100+7500+6730+4300</f>
        <v>22630</v>
      </c>
      <c r="J13">
        <v>14085</v>
      </c>
      <c r="L13">
        <f t="shared" si="0"/>
        <v>36715</v>
      </c>
      <c r="N13">
        <f t="shared" si="1"/>
        <v>0</v>
      </c>
      <c r="O13" s="11"/>
      <c r="P13" s="1"/>
      <c r="Q13" s="1"/>
      <c r="R13" s="1"/>
      <c r="S13" s="1">
        <f>$L13</f>
        <v>36715</v>
      </c>
      <c r="T13" s="1"/>
      <c r="U13" s="1"/>
    </row>
    <row r="14" spans="2:21" ht="12" customHeight="1">
      <c r="B14" t="s">
        <v>33</v>
      </c>
      <c r="C14" s="14" t="s">
        <v>56</v>
      </c>
      <c r="D14">
        <f>4500+12000</f>
        <v>16500</v>
      </c>
      <c r="L14">
        <f t="shared" si="0"/>
        <v>16500</v>
      </c>
      <c r="N14">
        <f t="shared" si="1"/>
        <v>0</v>
      </c>
      <c r="O14" s="11"/>
      <c r="P14" s="1"/>
      <c r="Q14" s="1"/>
      <c r="R14" s="1"/>
      <c r="S14" s="1"/>
      <c r="T14" s="1"/>
      <c r="U14" s="1">
        <f>$L14</f>
        <v>16500</v>
      </c>
    </row>
    <row r="15" spans="2:21" ht="12" customHeight="1">
      <c r="B15" t="s">
        <v>63</v>
      </c>
      <c r="C15" s="14">
        <v>3040</v>
      </c>
      <c r="D15">
        <v>13400</v>
      </c>
      <c r="L15">
        <f t="shared" si="0"/>
        <v>13400</v>
      </c>
      <c r="N15">
        <f t="shared" si="1"/>
        <v>0</v>
      </c>
      <c r="O15" s="11"/>
      <c r="P15" s="1"/>
      <c r="Q15" s="1"/>
      <c r="R15" s="1"/>
      <c r="S15" s="1"/>
      <c r="T15" s="1">
        <f>$L15</f>
        <v>13400</v>
      </c>
      <c r="U15" s="1"/>
    </row>
    <row r="16" spans="2:22" ht="12" customHeight="1">
      <c r="B16" t="s">
        <v>34</v>
      </c>
      <c r="C16" s="14"/>
      <c r="D16">
        <f>609625-SUM(D9:D14)-SUM(D18:D19)</f>
        <v>440610</v>
      </c>
      <c r="H16">
        <v>-111800</v>
      </c>
      <c r="J16">
        <v>10635</v>
      </c>
      <c r="L16">
        <f t="shared" si="0"/>
        <v>339445</v>
      </c>
      <c r="N16">
        <f t="shared" si="1"/>
        <v>0</v>
      </c>
      <c r="O16" s="11"/>
      <c r="P16" s="1"/>
      <c r="Q16" s="1"/>
      <c r="R16" s="1"/>
      <c r="S16" s="1"/>
      <c r="T16" s="1"/>
      <c r="U16" s="1"/>
      <c r="V16" s="1">
        <f>$L16</f>
        <v>339445</v>
      </c>
    </row>
    <row r="17" spans="1:22" ht="12" customHeight="1">
      <c r="A17">
        <v>901</v>
      </c>
      <c r="B17" t="s">
        <v>35</v>
      </c>
      <c r="C17" s="14"/>
      <c r="L17">
        <f t="shared" si="0"/>
        <v>0</v>
      </c>
      <c r="N17">
        <f t="shared" si="1"/>
        <v>0</v>
      </c>
      <c r="O17" s="11"/>
      <c r="P17" s="1"/>
      <c r="Q17" s="1"/>
      <c r="R17" s="1"/>
      <c r="S17" s="1"/>
      <c r="T17" s="1"/>
      <c r="U17" s="1"/>
      <c r="V17" s="1">
        <f>$L17</f>
        <v>0</v>
      </c>
    </row>
    <row r="18" spans="1:23" ht="12" customHeight="1">
      <c r="A18">
        <v>902</v>
      </c>
      <c r="B18" t="s">
        <v>36</v>
      </c>
      <c r="C18" s="14">
        <v>5086</v>
      </c>
      <c r="D18">
        <v>5000</v>
      </c>
      <c r="J18">
        <v>579</v>
      </c>
      <c r="L18">
        <f t="shared" si="0"/>
        <v>5579</v>
      </c>
      <c r="N18">
        <f t="shared" si="1"/>
        <v>0</v>
      </c>
      <c r="O18" s="11"/>
      <c r="P18" s="1"/>
      <c r="Q18" s="1"/>
      <c r="R18" s="1"/>
      <c r="S18" s="1"/>
      <c r="T18" s="1"/>
      <c r="U18" s="1"/>
      <c r="W18" s="1">
        <f>$L18</f>
        <v>5579</v>
      </c>
    </row>
    <row r="19" spans="1:24" ht="12" customHeight="1">
      <c r="A19">
        <v>903</v>
      </c>
      <c r="B19" t="s">
        <v>20</v>
      </c>
      <c r="C19" s="14">
        <v>5073</v>
      </c>
      <c r="D19">
        <v>700</v>
      </c>
      <c r="L19">
        <f t="shared" si="0"/>
        <v>700</v>
      </c>
      <c r="N19">
        <f t="shared" si="1"/>
        <v>0</v>
      </c>
      <c r="O19" s="11"/>
      <c r="P19" s="1"/>
      <c r="Q19" s="1"/>
      <c r="R19" s="1"/>
      <c r="S19" s="1"/>
      <c r="T19" s="1"/>
      <c r="U19" s="1"/>
      <c r="X19" s="1">
        <f>$L19</f>
        <v>700</v>
      </c>
    </row>
    <row r="20" spans="2:21" ht="12" customHeight="1">
      <c r="B20" t="s">
        <v>37</v>
      </c>
      <c r="C20" s="14"/>
      <c r="D20">
        <v>40100</v>
      </c>
      <c r="F20">
        <f>-D20</f>
        <v>-40100</v>
      </c>
      <c r="L20">
        <f t="shared" si="0"/>
        <v>0</v>
      </c>
      <c r="N20">
        <f t="shared" si="1"/>
        <v>0</v>
      </c>
      <c r="O20" s="11"/>
      <c r="P20" s="1"/>
      <c r="Q20" s="1"/>
      <c r="R20" s="1"/>
      <c r="S20" s="1"/>
      <c r="T20" s="1"/>
      <c r="U20" s="1"/>
    </row>
    <row r="21" spans="2:21" ht="12" customHeight="1">
      <c r="B21" t="s">
        <v>66</v>
      </c>
      <c r="C21" s="14"/>
      <c r="D21">
        <v>-9917</v>
      </c>
      <c r="F21">
        <v>9917</v>
      </c>
      <c r="L21">
        <f t="shared" si="0"/>
        <v>0</v>
      </c>
      <c r="O21" s="11"/>
      <c r="P21" s="1"/>
      <c r="Q21" s="1"/>
      <c r="R21" s="1"/>
      <c r="S21" s="1"/>
      <c r="T21" s="1"/>
      <c r="U21" s="1"/>
    </row>
    <row r="22" spans="2:25" ht="12.75">
      <c r="B22" t="s">
        <v>9</v>
      </c>
      <c r="C22" s="14"/>
      <c r="E22">
        <v>-22500</v>
      </c>
      <c r="L22">
        <f t="shared" si="0"/>
        <v>-22500</v>
      </c>
      <c r="N22">
        <f t="shared" si="1"/>
        <v>0</v>
      </c>
      <c r="O22" s="11"/>
      <c r="P22" s="1"/>
      <c r="Q22" s="15"/>
      <c r="R22" s="1"/>
      <c r="S22" s="1"/>
      <c r="T22" s="1"/>
      <c r="U22" s="1"/>
      <c r="Y22" s="1">
        <f>$L22</f>
        <v>-22500</v>
      </c>
    </row>
    <row r="23" spans="4:25" ht="13.5" thickBot="1">
      <c r="D23" s="16">
        <f>SUM(D6:D22)</f>
        <v>833669</v>
      </c>
      <c r="E23" s="16">
        <f>SUM(E6:E22)</f>
        <v>-137825</v>
      </c>
      <c r="F23" s="16">
        <f>SUM(F6:F22)</f>
        <v>-30183</v>
      </c>
      <c r="G23" s="16"/>
      <c r="H23" s="16">
        <f>SUM(H6:H22)</f>
        <v>0</v>
      </c>
      <c r="I23" s="16">
        <f>SUM(I6:I22)</f>
        <v>0</v>
      </c>
      <c r="J23" s="16">
        <f>SUM(J6:J22)</f>
        <v>137838</v>
      </c>
      <c r="K23" s="16">
        <f>SUM(K6:K22)</f>
        <v>0</v>
      </c>
      <c r="L23" s="16">
        <f>SUM(L6:L22)</f>
        <v>803499</v>
      </c>
      <c r="N23" s="16">
        <f aca="true" t="shared" si="2" ref="N23:Y23">SUM(N5:N22)</f>
        <v>260215</v>
      </c>
      <c r="O23" s="16">
        <f t="shared" si="2"/>
        <v>260215</v>
      </c>
      <c r="P23" s="16">
        <f t="shared" si="2"/>
        <v>0</v>
      </c>
      <c r="Q23" s="17">
        <f t="shared" si="2"/>
        <v>37610</v>
      </c>
      <c r="R23" s="16">
        <f t="shared" si="2"/>
        <v>115835</v>
      </c>
      <c r="S23" s="16">
        <f t="shared" si="2"/>
        <v>36715</v>
      </c>
      <c r="T23" s="16">
        <f t="shared" si="2"/>
        <v>13400</v>
      </c>
      <c r="U23" s="16">
        <f t="shared" si="2"/>
        <v>16500</v>
      </c>
      <c r="V23" s="16">
        <f t="shared" si="2"/>
        <v>339445</v>
      </c>
      <c r="W23" s="16">
        <f t="shared" si="2"/>
        <v>5579</v>
      </c>
      <c r="X23" s="16">
        <f t="shared" si="2"/>
        <v>700</v>
      </c>
      <c r="Y23" s="16">
        <f t="shared" si="2"/>
        <v>-22500</v>
      </c>
    </row>
    <row r="24" spans="14:25" ht="14.25" thickBot="1" thickTop="1">
      <c r="N24" s="18">
        <f>N23</f>
        <v>260215</v>
      </c>
      <c r="O24" s="1"/>
      <c r="P24" s="1"/>
      <c r="Q24" s="18">
        <f aca="true" t="shared" si="3" ref="Q24:V24">Q23</f>
        <v>37610</v>
      </c>
      <c r="R24" s="18">
        <f t="shared" si="3"/>
        <v>115835</v>
      </c>
      <c r="S24" s="18">
        <f t="shared" si="3"/>
        <v>36715</v>
      </c>
      <c r="T24" s="18">
        <f t="shared" si="3"/>
        <v>13400</v>
      </c>
      <c r="U24" s="18">
        <f t="shared" si="3"/>
        <v>16500</v>
      </c>
      <c r="V24" s="18">
        <f t="shared" si="3"/>
        <v>339445</v>
      </c>
      <c r="W24" s="34">
        <f>W23+X23</f>
        <v>6279</v>
      </c>
      <c r="X24" s="34"/>
      <c r="Y24" s="18">
        <f>Y23</f>
        <v>-22500</v>
      </c>
    </row>
    <row r="25" spans="1:13" ht="14.25" thickBot="1" thickTop="1">
      <c r="A25" t="s">
        <v>39</v>
      </c>
      <c r="D25" s="17">
        <v>695844</v>
      </c>
      <c r="F25" s="1"/>
      <c r="G25" s="1"/>
      <c r="L25" s="17">
        <f>D25</f>
        <v>695844</v>
      </c>
      <c r="M25" s="17">
        <f>SUM(N24:Y24)</f>
        <v>803499</v>
      </c>
    </row>
    <row r="26" spans="1:11" ht="13.5" thickTop="1">
      <c r="A26" t="s">
        <v>40</v>
      </c>
      <c r="K26" s="1"/>
    </row>
    <row r="27" spans="1:12" ht="13.5" thickBot="1">
      <c r="A27" t="s">
        <v>41</v>
      </c>
      <c r="D27" s="35">
        <f>D23-D25+E23</f>
        <v>0</v>
      </c>
      <c r="E27" s="35"/>
      <c r="F27" s="17">
        <f>F23</f>
        <v>-30183</v>
      </c>
      <c r="G27" s="17"/>
      <c r="H27" s="17">
        <f>H23</f>
        <v>0</v>
      </c>
      <c r="I27" s="17"/>
      <c r="J27" s="17">
        <f>J23</f>
        <v>137838</v>
      </c>
      <c r="K27" s="17">
        <f>K23</f>
        <v>0</v>
      </c>
      <c r="L27" s="17">
        <f>L23-L25</f>
        <v>107655</v>
      </c>
    </row>
    <row r="28" ht="13.5" thickTop="1"/>
    <row r="30" spans="1:5" ht="12.75" hidden="1">
      <c r="A30" t="s">
        <v>44</v>
      </c>
      <c r="B30" t="s">
        <v>45</v>
      </c>
      <c r="C30" s="1"/>
      <c r="D30" t="s">
        <v>53</v>
      </c>
      <c r="E30" t="s">
        <v>6</v>
      </c>
    </row>
    <row r="31" spans="1:4" ht="12.75" hidden="1">
      <c r="A31">
        <v>9015</v>
      </c>
      <c r="B31" t="s">
        <v>46</v>
      </c>
      <c r="C31" s="1"/>
      <c r="D31">
        <v>15000</v>
      </c>
    </row>
    <row r="32" spans="2:5" ht="12.75" hidden="1">
      <c r="B32" t="s">
        <v>47</v>
      </c>
      <c r="C32" s="1"/>
      <c r="D32">
        <v>-5000</v>
      </c>
      <c r="E32">
        <v>5000</v>
      </c>
    </row>
    <row r="33" ht="12.75" hidden="1">
      <c r="B33" t="s">
        <v>48</v>
      </c>
    </row>
    <row r="34" spans="1:4" ht="12.75" hidden="1">
      <c r="A34">
        <v>9020</v>
      </c>
      <c r="B34" t="s">
        <v>55</v>
      </c>
      <c r="D34">
        <v>10000</v>
      </c>
    </row>
    <row r="35" spans="1:4" ht="12.75" hidden="1">
      <c r="A35">
        <v>9022</v>
      </c>
      <c r="B35" t="s">
        <v>49</v>
      </c>
      <c r="D35">
        <v>4000</v>
      </c>
    </row>
    <row r="36" spans="1:5" ht="12.75" hidden="1">
      <c r="A36">
        <v>9024</v>
      </c>
      <c r="B36" t="s">
        <v>52</v>
      </c>
      <c r="E36">
        <v>500</v>
      </c>
    </row>
    <row r="37" spans="1:4" ht="12.75" hidden="1">
      <c r="A37">
        <v>9025</v>
      </c>
      <c r="B37" t="s">
        <v>50</v>
      </c>
      <c r="D37">
        <v>500</v>
      </c>
    </row>
    <row r="38" spans="1:4" ht="12.75" hidden="1">
      <c r="A38">
        <v>9026</v>
      </c>
      <c r="B38" t="s">
        <v>54</v>
      </c>
      <c r="D38">
        <v>500</v>
      </c>
    </row>
    <row r="39" spans="1:4" ht="12.75" hidden="1">
      <c r="A39">
        <v>9027</v>
      </c>
      <c r="B39" t="s">
        <v>24</v>
      </c>
      <c r="D39">
        <v>3500</v>
      </c>
    </row>
    <row r="40" spans="1:2" ht="12.75" hidden="1">
      <c r="A40">
        <v>9028</v>
      </c>
      <c r="B40" t="s">
        <v>52</v>
      </c>
    </row>
    <row r="41" spans="1:4" ht="12.75" hidden="1">
      <c r="A41">
        <v>9029</v>
      </c>
      <c r="B41" t="s">
        <v>51</v>
      </c>
      <c r="D41">
        <v>1000</v>
      </c>
    </row>
    <row r="42" spans="1:4" ht="12.75" hidden="1">
      <c r="A42">
        <v>9030</v>
      </c>
      <c r="B42" t="s">
        <v>50</v>
      </c>
      <c r="D42">
        <v>5000</v>
      </c>
    </row>
    <row r="43" spans="1:4" ht="12.75" hidden="1">
      <c r="A43">
        <v>9031</v>
      </c>
      <c r="B43" t="s">
        <v>54</v>
      </c>
      <c r="D43">
        <v>500</v>
      </c>
    </row>
    <row r="44" spans="1:5" ht="12.75" hidden="1">
      <c r="A44">
        <v>9032</v>
      </c>
      <c r="B44" t="s">
        <v>52</v>
      </c>
      <c r="E44">
        <v>1000</v>
      </c>
    </row>
    <row r="45" spans="3:5" ht="12.75" hidden="1">
      <c r="C45" s="19">
        <f>SUM(D45:E45)</f>
        <v>41500</v>
      </c>
      <c r="D45" s="19">
        <f>SUM(D31:D44)</f>
        <v>35000</v>
      </c>
      <c r="E45" s="19">
        <f>SUM(E31:E44)</f>
        <v>6500</v>
      </c>
    </row>
    <row r="51" spans="22:25" ht="12.75">
      <c r="V51" s="1"/>
      <c r="W51" s="1"/>
      <c r="X51" s="1"/>
      <c r="Y51" s="1"/>
    </row>
    <row r="52" spans="22:25" ht="12.75">
      <c r="V52" s="1"/>
      <c r="W52" s="1"/>
      <c r="X52" s="1"/>
      <c r="Y52" s="1"/>
    </row>
    <row r="53" spans="22:25" ht="12.75">
      <c r="V53" s="1"/>
      <c r="W53" s="1"/>
      <c r="X53" s="1"/>
      <c r="Y53" s="1"/>
    </row>
  </sheetData>
  <sheetProtection/>
  <mergeCells count="3">
    <mergeCell ref="W24:X24"/>
    <mergeCell ref="D27:E27"/>
    <mergeCell ref="H4:I4"/>
  </mergeCells>
  <printOptions/>
  <pageMargins left="0.2" right="0.22" top="0.27" bottom="0.62" header="0.2" footer="0.25"/>
  <pageSetup fitToHeight="1" fitToWidth="1" horizontalDpi="300" verticalDpi="300" orientation="landscape" paperSize="9" scale="64" r:id="rId1"/>
  <headerFooter alignWithMargins="0">
    <oddFooter>&amp;LPrepared by:
RBS Accounting Solutions&amp;CFor:
Bradley Stoke Town Council&amp;R&amp;T
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6.421875" style="0" customWidth="1"/>
    <col min="2" max="2" width="23.140625" style="0" customWidth="1"/>
    <col min="3" max="3" width="14.28125" style="0" customWidth="1"/>
    <col min="5" max="5" width="9.00390625" style="0" customWidth="1"/>
    <col min="6" max="6" width="10.57421875" style="0" customWidth="1"/>
    <col min="7" max="7" width="3.8515625" style="0" customWidth="1"/>
    <col min="13" max="13" width="7.57421875" style="0" bestFit="1" customWidth="1"/>
    <col min="14" max="14" width="8.7109375" style="0" customWidth="1"/>
    <col min="15" max="15" width="10.8515625" style="0" bestFit="1" customWidth="1"/>
    <col min="16" max="16" width="9.57421875" style="0" bestFit="1" customWidth="1"/>
    <col min="17" max="17" width="10.7109375" style="0" bestFit="1" customWidth="1"/>
    <col min="18" max="18" width="10.8515625" style="0" bestFit="1" customWidth="1"/>
    <col min="19" max="19" width="6.57421875" style="0" bestFit="1" customWidth="1"/>
    <col min="20" max="21" width="6.57421875" style="0" customWidth="1"/>
    <col min="23" max="23" width="6.28125" style="0" customWidth="1"/>
    <col min="24" max="24" width="6.00390625" style="0" bestFit="1" customWidth="1"/>
    <col min="25" max="25" width="7.7109375" style="0" customWidth="1"/>
  </cols>
  <sheetData>
    <row r="1" spans="1:5" ht="12.75">
      <c r="A1" s="2" t="s">
        <v>0</v>
      </c>
      <c r="E1" s="2" t="s">
        <v>61</v>
      </c>
    </row>
    <row r="2" spans="1:5" ht="12.75">
      <c r="A2" s="2"/>
      <c r="E2" s="2"/>
    </row>
    <row r="3" spans="1:12" ht="13.5" thickBot="1">
      <c r="A3" s="2"/>
      <c r="B3" s="2"/>
      <c r="C3" s="2"/>
      <c r="D3" s="3" t="s">
        <v>2</v>
      </c>
      <c r="E3" s="3"/>
      <c r="F3" s="3"/>
      <c r="G3" s="3"/>
      <c r="H3" s="3"/>
      <c r="I3" s="3"/>
      <c r="J3" s="3"/>
      <c r="K3" s="4"/>
      <c r="L3" s="4"/>
    </row>
    <row r="4" spans="3:25" ht="13.5" thickBot="1">
      <c r="C4" s="4" t="s">
        <v>3</v>
      </c>
      <c r="D4" s="4" t="s">
        <v>4</v>
      </c>
      <c r="E4" s="4" t="s">
        <v>5</v>
      </c>
      <c r="F4" s="4" t="s">
        <v>6</v>
      </c>
      <c r="G4" s="4"/>
      <c r="H4" s="33" t="s">
        <v>57</v>
      </c>
      <c r="I4" s="33"/>
      <c r="J4" s="4" t="s">
        <v>8</v>
      </c>
      <c r="K4" s="4" t="s">
        <v>9</v>
      </c>
      <c r="L4" s="4" t="s">
        <v>10</v>
      </c>
      <c r="N4" s="5" t="s">
        <v>11</v>
      </c>
      <c r="O4" s="6" t="s">
        <v>12</v>
      </c>
      <c r="P4" s="7" t="s">
        <v>13</v>
      </c>
      <c r="Q4" s="8" t="s">
        <v>14</v>
      </c>
      <c r="R4" s="9" t="s">
        <v>15</v>
      </c>
      <c r="S4" s="10" t="s">
        <v>16</v>
      </c>
      <c r="T4" s="10" t="s">
        <v>62</v>
      </c>
      <c r="U4" s="10" t="s">
        <v>17</v>
      </c>
      <c r="V4" s="9" t="s">
        <v>18</v>
      </c>
      <c r="W4" s="9" t="s">
        <v>19</v>
      </c>
      <c r="X4" s="9" t="s">
        <v>20</v>
      </c>
      <c r="Y4" s="5" t="s">
        <v>9</v>
      </c>
    </row>
    <row r="5" spans="8:25" ht="12.75">
      <c r="H5" s="4" t="s">
        <v>58</v>
      </c>
      <c r="I5" s="4" t="s">
        <v>59</v>
      </c>
      <c r="J5" t="s">
        <v>60</v>
      </c>
      <c r="O5" s="11"/>
      <c r="P5" s="12"/>
      <c r="Q5" s="1"/>
      <c r="R5" s="12"/>
      <c r="S5" s="12"/>
      <c r="T5" s="12"/>
      <c r="U5" s="12"/>
      <c r="V5" s="1"/>
      <c r="W5" s="13"/>
      <c r="X5" s="13"/>
      <c r="Y5" s="13"/>
    </row>
    <row r="6" spans="1:23" ht="12" customHeight="1">
      <c r="A6">
        <v>101</v>
      </c>
      <c r="B6" t="s">
        <v>21</v>
      </c>
      <c r="C6" s="14"/>
      <c r="D6">
        <v>81920</v>
      </c>
      <c r="E6">
        <v>-62000</v>
      </c>
      <c r="G6" s="14" t="s">
        <v>22</v>
      </c>
      <c r="J6">
        <v>40105</v>
      </c>
      <c r="L6">
        <f aca="true" t="shared" si="0" ref="L6:L21">SUM(D6:K6)</f>
        <v>60025</v>
      </c>
      <c r="N6">
        <f aca="true" t="shared" si="1" ref="N6:N21">SUM(O6:P6)</f>
        <v>60025</v>
      </c>
      <c r="O6" s="11">
        <f>L6</f>
        <v>60025</v>
      </c>
      <c r="P6" s="1"/>
      <c r="Q6" s="1"/>
      <c r="R6" s="1"/>
      <c r="S6" s="1"/>
      <c r="T6" s="1"/>
      <c r="W6" s="1"/>
    </row>
    <row r="7" spans="1:24" ht="12" customHeight="1">
      <c r="A7">
        <v>102</v>
      </c>
      <c r="B7" t="s">
        <v>54</v>
      </c>
      <c r="C7" s="14"/>
      <c r="D7">
        <v>38740</v>
      </c>
      <c r="E7">
        <v>-29500</v>
      </c>
      <c r="G7" s="14" t="s">
        <v>22</v>
      </c>
      <c r="H7">
        <f>-H16</f>
        <v>110976</v>
      </c>
      <c r="J7">
        <v>15624</v>
      </c>
      <c r="L7">
        <f t="shared" si="0"/>
        <v>135840</v>
      </c>
      <c r="N7">
        <f t="shared" si="1"/>
        <v>135840</v>
      </c>
      <c r="O7" s="11">
        <f>L7</f>
        <v>135840</v>
      </c>
      <c r="P7" s="1"/>
      <c r="Q7" s="1"/>
      <c r="R7" s="1"/>
      <c r="S7" s="1"/>
      <c r="T7" s="1"/>
      <c r="U7" s="1"/>
      <c r="X7" s="1"/>
    </row>
    <row r="8" spans="1:24" ht="12" customHeight="1">
      <c r="A8">
        <v>103</v>
      </c>
      <c r="B8" t="s">
        <v>24</v>
      </c>
      <c r="C8" s="14"/>
      <c r="D8">
        <v>63520</v>
      </c>
      <c r="E8">
        <v>-21000</v>
      </c>
      <c r="G8" s="14" t="s">
        <v>22</v>
      </c>
      <c r="J8">
        <v>27005</v>
      </c>
      <c r="L8">
        <f t="shared" si="0"/>
        <v>69525</v>
      </c>
      <c r="N8">
        <f t="shared" si="1"/>
        <v>69525</v>
      </c>
      <c r="O8" s="11">
        <f>L8</f>
        <v>69525</v>
      </c>
      <c r="P8" s="1"/>
      <c r="Q8" s="1"/>
      <c r="R8" s="1"/>
      <c r="S8" s="1"/>
      <c r="T8" s="1"/>
      <c r="U8" s="1"/>
      <c r="X8" s="1"/>
    </row>
    <row r="9" spans="2:24" ht="12" customHeight="1">
      <c r="B9" t="s">
        <v>25</v>
      </c>
      <c r="C9" s="14">
        <v>5084</v>
      </c>
      <c r="D9">
        <v>0</v>
      </c>
      <c r="G9" s="14"/>
      <c r="L9">
        <f t="shared" si="0"/>
        <v>0</v>
      </c>
      <c r="N9">
        <f t="shared" si="1"/>
        <v>0</v>
      </c>
      <c r="O9" s="11"/>
      <c r="P9" s="1">
        <f>L9</f>
        <v>0</v>
      </c>
      <c r="Q9" s="1"/>
      <c r="R9" s="1"/>
      <c r="S9" s="1"/>
      <c r="T9" s="1"/>
      <c r="U9" s="1"/>
      <c r="X9" s="1"/>
    </row>
    <row r="10" spans="1:24" ht="12" customHeight="1">
      <c r="A10">
        <v>201</v>
      </c>
      <c r="B10" t="s">
        <v>26</v>
      </c>
      <c r="C10" s="14" t="s">
        <v>27</v>
      </c>
      <c r="D10">
        <f>500+900+100</f>
        <v>1500</v>
      </c>
      <c r="J10">
        <v>27275</v>
      </c>
      <c r="L10">
        <f t="shared" si="0"/>
        <v>28775</v>
      </c>
      <c r="N10">
        <f t="shared" si="1"/>
        <v>0</v>
      </c>
      <c r="O10" s="11"/>
      <c r="P10" s="1"/>
      <c r="Q10" s="1">
        <f>L10</f>
        <v>28775</v>
      </c>
      <c r="R10" s="1"/>
      <c r="S10" s="1"/>
      <c r="T10" s="1"/>
      <c r="U10" s="1"/>
      <c r="X10" s="1"/>
    </row>
    <row r="11" spans="1:24" ht="12" customHeight="1">
      <c r="A11">
        <v>202</v>
      </c>
      <c r="B11" t="s">
        <v>28</v>
      </c>
      <c r="C11" s="14" t="s">
        <v>29</v>
      </c>
      <c r="D11">
        <v>0</v>
      </c>
      <c r="J11">
        <v>1985</v>
      </c>
      <c r="L11">
        <f t="shared" si="0"/>
        <v>1985</v>
      </c>
      <c r="N11">
        <f t="shared" si="1"/>
        <v>0</v>
      </c>
      <c r="O11" s="11"/>
      <c r="P11" s="1"/>
      <c r="Q11" s="1">
        <f>$L11</f>
        <v>1985</v>
      </c>
      <c r="R11" s="1"/>
      <c r="S11" s="1"/>
      <c r="T11" s="1"/>
      <c r="U11" s="1"/>
      <c r="X11" s="1"/>
    </row>
    <row r="12" spans="1:24" ht="12" customHeight="1">
      <c r="A12">
        <v>206</v>
      </c>
      <c r="B12" t="s">
        <v>30</v>
      </c>
      <c r="C12" s="14" t="s">
        <v>43</v>
      </c>
      <c r="D12">
        <f>4000+11687+94813</f>
        <v>110500</v>
      </c>
      <c r="L12">
        <f t="shared" si="0"/>
        <v>110500</v>
      </c>
      <c r="N12">
        <f t="shared" si="1"/>
        <v>0</v>
      </c>
      <c r="O12" s="11"/>
      <c r="P12" s="1"/>
      <c r="Q12" s="1"/>
      <c r="R12" s="1">
        <f>$L12</f>
        <v>110500</v>
      </c>
      <c r="S12" s="1"/>
      <c r="T12" s="1"/>
      <c r="U12" s="1"/>
      <c r="X12" s="1"/>
    </row>
    <row r="13" spans="1:21" ht="12" customHeight="1">
      <c r="A13">
        <v>401</v>
      </c>
      <c r="B13" t="s">
        <v>16</v>
      </c>
      <c r="C13" s="14" t="s">
        <v>32</v>
      </c>
      <c r="D13">
        <f>3200+3700+6300+2500</f>
        <v>15700</v>
      </c>
      <c r="J13">
        <v>14085</v>
      </c>
      <c r="L13">
        <f t="shared" si="0"/>
        <v>29785</v>
      </c>
      <c r="N13">
        <f t="shared" si="1"/>
        <v>0</v>
      </c>
      <c r="O13" s="11"/>
      <c r="P13" s="1"/>
      <c r="Q13" s="1"/>
      <c r="R13" s="1"/>
      <c r="S13" s="1">
        <f>$L13</f>
        <v>29785</v>
      </c>
      <c r="T13" s="1"/>
      <c r="U13" s="1"/>
    </row>
    <row r="14" spans="2:21" ht="12" customHeight="1">
      <c r="B14" t="s">
        <v>33</v>
      </c>
      <c r="C14" s="14" t="s">
        <v>56</v>
      </c>
      <c r="D14">
        <f>4500+12000</f>
        <v>16500</v>
      </c>
      <c r="L14">
        <f t="shared" si="0"/>
        <v>16500</v>
      </c>
      <c r="N14">
        <f t="shared" si="1"/>
        <v>0</v>
      </c>
      <c r="O14" s="11"/>
      <c r="P14" s="1"/>
      <c r="Q14" s="1"/>
      <c r="R14" s="1"/>
      <c r="S14" s="1"/>
      <c r="T14" s="1"/>
      <c r="U14" s="1">
        <f>$L14</f>
        <v>16500</v>
      </c>
    </row>
    <row r="15" spans="2:21" ht="12" customHeight="1">
      <c r="B15" t="s">
        <v>63</v>
      </c>
      <c r="C15" s="14">
        <v>3040</v>
      </c>
      <c r="D15">
        <v>13000</v>
      </c>
      <c r="L15">
        <f>SUM(D15:K15)</f>
        <v>13000</v>
      </c>
      <c r="N15">
        <f>SUM(O15:P15)</f>
        <v>0</v>
      </c>
      <c r="O15" s="11"/>
      <c r="P15" s="1"/>
      <c r="Q15" s="1"/>
      <c r="R15" s="1"/>
      <c r="S15" s="1"/>
      <c r="T15" s="1">
        <f>$L15</f>
        <v>13000</v>
      </c>
      <c r="U15" s="1"/>
    </row>
    <row r="16" spans="2:22" ht="12" customHeight="1">
      <c r="B16" t="s">
        <v>34</v>
      </c>
      <c r="C16" s="14"/>
      <c r="D16">
        <f>566980-SUM(D9:D14)-SUM(D18:D19)</f>
        <v>417080</v>
      </c>
      <c r="H16">
        <f>-98336-6049-6591</f>
        <v>-110976</v>
      </c>
      <c r="J16">
        <v>10438</v>
      </c>
      <c r="L16">
        <f t="shared" si="0"/>
        <v>316542</v>
      </c>
      <c r="N16">
        <f t="shared" si="1"/>
        <v>0</v>
      </c>
      <c r="O16" s="11"/>
      <c r="P16" s="1"/>
      <c r="Q16" s="1"/>
      <c r="R16" s="1"/>
      <c r="S16" s="1"/>
      <c r="T16" s="1"/>
      <c r="U16" s="1"/>
      <c r="V16" s="1">
        <f>$L16</f>
        <v>316542</v>
      </c>
    </row>
    <row r="17" spans="1:22" ht="12" customHeight="1">
      <c r="A17">
        <v>901</v>
      </c>
      <c r="B17" t="s">
        <v>35</v>
      </c>
      <c r="C17" s="14"/>
      <c r="L17">
        <f t="shared" si="0"/>
        <v>0</v>
      </c>
      <c r="N17">
        <f t="shared" si="1"/>
        <v>0</v>
      </c>
      <c r="O17" s="11"/>
      <c r="P17" s="1"/>
      <c r="Q17" s="1"/>
      <c r="R17" s="1"/>
      <c r="S17" s="1"/>
      <c r="T17" s="1"/>
      <c r="U17" s="1"/>
      <c r="V17" s="1">
        <f>$L17</f>
        <v>0</v>
      </c>
    </row>
    <row r="18" spans="1:23" ht="12" customHeight="1">
      <c r="A18">
        <v>902</v>
      </c>
      <c r="B18" t="s">
        <v>36</v>
      </c>
      <c r="C18" s="14">
        <v>5086</v>
      </c>
      <c r="D18">
        <v>5000</v>
      </c>
      <c r="J18">
        <v>579</v>
      </c>
      <c r="L18">
        <f t="shared" si="0"/>
        <v>5579</v>
      </c>
      <c r="N18">
        <f t="shared" si="1"/>
        <v>0</v>
      </c>
      <c r="O18" s="11"/>
      <c r="P18" s="1"/>
      <c r="Q18" s="1"/>
      <c r="R18" s="1"/>
      <c r="S18" s="1"/>
      <c r="T18" s="1"/>
      <c r="U18" s="1"/>
      <c r="W18" s="1">
        <f>$L18</f>
        <v>5579</v>
      </c>
    </row>
    <row r="19" spans="1:24" ht="12" customHeight="1">
      <c r="A19">
        <v>903</v>
      </c>
      <c r="B19" t="s">
        <v>20</v>
      </c>
      <c r="C19" s="14">
        <v>5073</v>
      </c>
      <c r="D19">
        <v>700</v>
      </c>
      <c r="L19">
        <f t="shared" si="0"/>
        <v>700</v>
      </c>
      <c r="N19">
        <f t="shared" si="1"/>
        <v>0</v>
      </c>
      <c r="O19" s="11"/>
      <c r="P19" s="1"/>
      <c r="Q19" s="1"/>
      <c r="R19" s="1"/>
      <c r="S19" s="1"/>
      <c r="T19" s="1"/>
      <c r="U19" s="1"/>
      <c r="X19" s="1">
        <f>$L19</f>
        <v>700</v>
      </c>
    </row>
    <row r="20" spans="2:21" ht="12" customHeight="1">
      <c r="B20" t="s">
        <v>37</v>
      </c>
      <c r="C20" s="14"/>
      <c r="D20">
        <f>2500+7500+5000+6000+300+500+500+500+1200+1500+500+500</f>
        <v>26500</v>
      </c>
      <c r="F20">
        <f>-D20</f>
        <v>-26500</v>
      </c>
      <c r="L20">
        <f t="shared" si="0"/>
        <v>0</v>
      </c>
      <c r="N20">
        <f t="shared" si="1"/>
        <v>0</v>
      </c>
      <c r="O20" s="11"/>
      <c r="P20" s="1"/>
      <c r="Q20" s="1"/>
      <c r="R20" s="1"/>
      <c r="S20" s="1"/>
      <c r="T20" s="1"/>
      <c r="U20" s="1"/>
    </row>
    <row r="21" spans="2:25" ht="12.75">
      <c r="B21" t="s">
        <v>9</v>
      </c>
      <c r="C21" s="14"/>
      <c r="E21">
        <v>-22500</v>
      </c>
      <c r="L21">
        <f t="shared" si="0"/>
        <v>-22500</v>
      </c>
      <c r="N21">
        <f t="shared" si="1"/>
        <v>0</v>
      </c>
      <c r="O21" s="11"/>
      <c r="P21" s="1"/>
      <c r="Q21" s="15"/>
      <c r="R21" s="1"/>
      <c r="S21" s="1"/>
      <c r="T21" s="1"/>
      <c r="U21" s="1"/>
      <c r="Y21" s="1">
        <f>$L21</f>
        <v>-22500</v>
      </c>
    </row>
    <row r="22" spans="4:25" ht="13.5" thickBot="1">
      <c r="D22" s="16">
        <f>SUM(D6:D21)</f>
        <v>790660</v>
      </c>
      <c r="E22" s="16">
        <f>SUM(E6:E21)</f>
        <v>-135000</v>
      </c>
      <c r="F22" s="16">
        <f>SUM(F6:F21)</f>
        <v>-26500</v>
      </c>
      <c r="G22" s="16"/>
      <c r="H22" s="16">
        <f>SUM(H6:H21)</f>
        <v>0</v>
      </c>
      <c r="I22" s="16">
        <f>SUM(I6:I21)</f>
        <v>0</v>
      </c>
      <c r="J22" s="16">
        <f>SUM(J6:J21)</f>
        <v>137096</v>
      </c>
      <c r="K22" s="16">
        <f>SUM(K6:K21)</f>
        <v>0</v>
      </c>
      <c r="L22" s="16">
        <f>SUM(L6:L21)</f>
        <v>766256</v>
      </c>
      <c r="N22" s="16">
        <f aca="true" t="shared" si="2" ref="N22:Y22">SUM(N5:N21)</f>
        <v>265390</v>
      </c>
      <c r="O22" s="16">
        <f t="shared" si="2"/>
        <v>265390</v>
      </c>
      <c r="P22" s="16">
        <f t="shared" si="2"/>
        <v>0</v>
      </c>
      <c r="Q22" s="17">
        <f t="shared" si="2"/>
        <v>30760</v>
      </c>
      <c r="R22" s="16">
        <f t="shared" si="2"/>
        <v>110500</v>
      </c>
      <c r="S22" s="16">
        <f t="shared" si="2"/>
        <v>29785</v>
      </c>
      <c r="T22" s="16">
        <f t="shared" si="2"/>
        <v>13000</v>
      </c>
      <c r="U22" s="16">
        <f t="shared" si="2"/>
        <v>16500</v>
      </c>
      <c r="V22" s="16">
        <f t="shared" si="2"/>
        <v>316542</v>
      </c>
      <c r="W22" s="16">
        <f t="shared" si="2"/>
        <v>5579</v>
      </c>
      <c r="X22" s="16">
        <f t="shared" si="2"/>
        <v>700</v>
      </c>
      <c r="Y22" s="16">
        <f t="shared" si="2"/>
        <v>-22500</v>
      </c>
    </row>
    <row r="23" spans="14:25" ht="14.25" thickBot="1" thickTop="1">
      <c r="N23" s="18">
        <f>N22</f>
        <v>265390</v>
      </c>
      <c r="O23" s="1"/>
      <c r="P23" s="1"/>
      <c r="Q23" s="18">
        <f aca="true" t="shared" si="3" ref="Q23:V23">Q22</f>
        <v>30760</v>
      </c>
      <c r="R23" s="18">
        <f t="shared" si="3"/>
        <v>110500</v>
      </c>
      <c r="S23" s="18">
        <f t="shared" si="3"/>
        <v>29785</v>
      </c>
      <c r="T23" s="18">
        <f t="shared" si="3"/>
        <v>13000</v>
      </c>
      <c r="U23" s="18">
        <f t="shared" si="3"/>
        <v>16500</v>
      </c>
      <c r="V23" s="18">
        <f t="shared" si="3"/>
        <v>316542</v>
      </c>
      <c r="W23" s="34">
        <f>W22+X22</f>
        <v>6279</v>
      </c>
      <c r="X23" s="34"/>
      <c r="Y23" s="18">
        <f>Y22</f>
        <v>-22500</v>
      </c>
    </row>
    <row r="24" spans="1:13" ht="14.25" thickBot="1" thickTop="1">
      <c r="A24" t="s">
        <v>39</v>
      </c>
      <c r="D24" s="17">
        <v>649892</v>
      </c>
      <c r="F24" s="1"/>
      <c r="G24" s="1"/>
      <c r="L24" s="17">
        <f>D24</f>
        <v>649892</v>
      </c>
      <c r="M24" s="17">
        <f>SUM(N23:Y23)</f>
        <v>766256</v>
      </c>
    </row>
    <row r="25" spans="1:11" ht="13.5" thickTop="1">
      <c r="A25" t="s">
        <v>40</v>
      </c>
      <c r="K25" s="1"/>
    </row>
    <row r="26" spans="1:12" ht="13.5" thickBot="1">
      <c r="A26" t="s">
        <v>41</v>
      </c>
      <c r="D26" s="35">
        <f>D22-D24+E22</f>
        <v>5768</v>
      </c>
      <c r="E26" s="35"/>
      <c r="F26" s="17">
        <f>F22</f>
        <v>-26500</v>
      </c>
      <c r="G26" s="17"/>
      <c r="H26" s="17">
        <f>H22</f>
        <v>0</v>
      </c>
      <c r="I26" s="17"/>
      <c r="J26" s="17">
        <f>J22</f>
        <v>137096</v>
      </c>
      <c r="K26" s="17">
        <f>K22</f>
        <v>0</v>
      </c>
      <c r="L26" s="17">
        <f>L22-L24</f>
        <v>116364</v>
      </c>
    </row>
    <row r="27" ht="13.5" thickTop="1"/>
    <row r="29" spans="1:5" ht="12.75" hidden="1">
      <c r="A29" t="s">
        <v>44</v>
      </c>
      <c r="B29" t="s">
        <v>45</v>
      </c>
      <c r="C29" s="1"/>
      <c r="D29" t="s">
        <v>53</v>
      </c>
      <c r="E29" t="s">
        <v>6</v>
      </c>
    </row>
    <row r="30" spans="1:4" ht="12.75" hidden="1">
      <c r="A30">
        <v>9015</v>
      </c>
      <c r="B30" t="s">
        <v>46</v>
      </c>
      <c r="C30" s="1"/>
      <c r="D30">
        <v>15000</v>
      </c>
    </row>
    <row r="31" spans="2:5" ht="12.75" hidden="1">
      <c r="B31" t="s">
        <v>47</v>
      </c>
      <c r="C31" s="1"/>
      <c r="D31">
        <v>-5000</v>
      </c>
      <c r="E31">
        <v>5000</v>
      </c>
    </row>
    <row r="32" ht="12.75" hidden="1">
      <c r="B32" t="s">
        <v>48</v>
      </c>
    </row>
    <row r="33" spans="1:4" ht="12.75" hidden="1">
      <c r="A33">
        <v>9020</v>
      </c>
      <c r="B33" t="s">
        <v>55</v>
      </c>
      <c r="D33">
        <v>10000</v>
      </c>
    </row>
    <row r="34" spans="1:4" ht="12.75" hidden="1">
      <c r="A34">
        <v>9022</v>
      </c>
      <c r="B34" t="s">
        <v>49</v>
      </c>
      <c r="D34">
        <v>4000</v>
      </c>
    </row>
    <row r="35" spans="1:5" ht="12.75" hidden="1">
      <c r="A35">
        <v>9024</v>
      </c>
      <c r="B35" t="s">
        <v>52</v>
      </c>
      <c r="E35">
        <v>500</v>
      </c>
    </row>
    <row r="36" spans="1:4" ht="12.75" hidden="1">
      <c r="A36">
        <v>9025</v>
      </c>
      <c r="B36" t="s">
        <v>50</v>
      </c>
      <c r="D36">
        <v>500</v>
      </c>
    </row>
    <row r="37" spans="1:4" ht="12.75" hidden="1">
      <c r="A37">
        <v>9026</v>
      </c>
      <c r="B37" t="s">
        <v>54</v>
      </c>
      <c r="D37">
        <v>500</v>
      </c>
    </row>
    <row r="38" spans="1:4" ht="12.75" hidden="1">
      <c r="A38">
        <v>9027</v>
      </c>
      <c r="B38" t="s">
        <v>24</v>
      </c>
      <c r="D38">
        <v>3500</v>
      </c>
    </row>
    <row r="39" spans="1:2" ht="12.75" hidden="1">
      <c r="A39">
        <v>9028</v>
      </c>
      <c r="B39" t="s">
        <v>52</v>
      </c>
    </row>
    <row r="40" spans="1:4" ht="12.75" hidden="1">
      <c r="A40">
        <v>9029</v>
      </c>
      <c r="B40" t="s">
        <v>51</v>
      </c>
      <c r="D40">
        <v>1000</v>
      </c>
    </row>
    <row r="41" spans="1:4" ht="12.75" hidden="1">
      <c r="A41">
        <v>9030</v>
      </c>
      <c r="B41" t="s">
        <v>50</v>
      </c>
      <c r="D41">
        <v>5000</v>
      </c>
    </row>
    <row r="42" spans="1:4" ht="12.75" hidden="1">
      <c r="A42">
        <v>9031</v>
      </c>
      <c r="B42" t="s">
        <v>54</v>
      </c>
      <c r="D42">
        <v>500</v>
      </c>
    </row>
    <row r="43" spans="1:5" ht="12.75" hidden="1">
      <c r="A43">
        <v>9032</v>
      </c>
      <c r="B43" t="s">
        <v>52</v>
      </c>
      <c r="E43">
        <v>1000</v>
      </c>
    </row>
    <row r="44" spans="3:5" ht="12.75" hidden="1">
      <c r="C44" s="19">
        <f>SUM(D44:E44)</f>
        <v>41500</v>
      </c>
      <c r="D44" s="19">
        <f>SUM(D30:D43)</f>
        <v>35000</v>
      </c>
      <c r="E44" s="19">
        <f>SUM(E30:E43)</f>
        <v>6500</v>
      </c>
    </row>
    <row r="50" spans="22:25" ht="12.75">
      <c r="V50" s="1"/>
      <c r="W50" s="1"/>
      <c r="X50" s="1"/>
      <c r="Y50" s="1"/>
    </row>
    <row r="51" spans="22:25" ht="12.75">
      <c r="V51" s="1"/>
      <c r="W51" s="1"/>
      <c r="X51" s="1"/>
      <c r="Y51" s="1"/>
    </row>
    <row r="52" spans="22:25" ht="12.75">
      <c r="V52" s="1"/>
      <c r="W52" s="1"/>
      <c r="X52" s="1"/>
      <c r="Y52" s="1"/>
    </row>
  </sheetData>
  <sheetProtection/>
  <mergeCells count="3">
    <mergeCell ref="W23:X23"/>
    <mergeCell ref="D26:E26"/>
    <mergeCell ref="H4:I4"/>
  </mergeCells>
  <printOptions/>
  <pageMargins left="0.2" right="0.22" top="0.27" bottom="0.62" header="0.2" footer="0.25"/>
  <pageSetup fitToHeight="1" fitToWidth="1" horizontalDpi="300" verticalDpi="300" orientation="landscape" paperSize="9" scale="64" r:id="rId1"/>
  <headerFooter alignWithMargins="0">
    <oddFooter>&amp;LPrepared by:
RBS Accounting Solutions&amp;CFor:
Bradley Stoke Town Council&amp;R&amp;T
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6.421875" style="0" customWidth="1"/>
    <col min="2" max="2" width="23.140625" style="0" customWidth="1"/>
    <col min="3" max="3" width="14.28125" style="0" customWidth="1"/>
    <col min="5" max="5" width="9.00390625" style="0" customWidth="1"/>
    <col min="6" max="6" width="10.57421875" style="0" customWidth="1"/>
    <col min="7" max="7" width="3.8515625" style="0" customWidth="1"/>
    <col min="13" max="13" width="7.57421875" style="0" bestFit="1" customWidth="1"/>
    <col min="14" max="14" width="8.7109375" style="0" customWidth="1"/>
    <col min="15" max="15" width="10.8515625" style="0" bestFit="1" customWidth="1"/>
    <col min="16" max="16" width="9.57421875" style="0" bestFit="1" customWidth="1"/>
    <col min="17" max="17" width="10.7109375" style="0" bestFit="1" customWidth="1"/>
    <col min="18" max="18" width="10.8515625" style="0" bestFit="1" customWidth="1"/>
    <col min="19" max="19" width="6.57421875" style="0" bestFit="1" customWidth="1"/>
    <col min="20" max="20" width="6.57421875" style="0" customWidth="1"/>
    <col min="22" max="22" width="6.28125" style="0" customWidth="1"/>
    <col min="23" max="23" width="6.00390625" style="0" bestFit="1" customWidth="1"/>
    <col min="24" max="24" width="7.7109375" style="0" customWidth="1"/>
  </cols>
  <sheetData>
    <row r="1" spans="1:5" ht="12.75">
      <c r="A1" s="2" t="s">
        <v>0</v>
      </c>
      <c r="E1" s="2" t="s">
        <v>42</v>
      </c>
    </row>
    <row r="2" spans="1:5" ht="12.75">
      <c r="A2" s="2"/>
      <c r="E2" s="2"/>
    </row>
    <row r="3" spans="1:12" ht="13.5" thickBot="1">
      <c r="A3" s="2"/>
      <c r="B3" s="2"/>
      <c r="C3" s="2"/>
      <c r="D3" s="3" t="s">
        <v>2</v>
      </c>
      <c r="E3" s="3"/>
      <c r="F3" s="3"/>
      <c r="G3" s="3"/>
      <c r="H3" s="3"/>
      <c r="I3" s="3"/>
      <c r="J3" s="3"/>
      <c r="K3" s="4"/>
      <c r="L3" s="4"/>
    </row>
    <row r="4" spans="3:24" ht="13.5" thickBot="1">
      <c r="C4" s="4" t="s">
        <v>3</v>
      </c>
      <c r="D4" s="4" t="s">
        <v>4</v>
      </c>
      <c r="E4" s="4" t="s">
        <v>5</v>
      </c>
      <c r="F4" s="4" t="s">
        <v>6</v>
      </c>
      <c r="G4" s="4"/>
      <c r="H4" s="33" t="s">
        <v>57</v>
      </c>
      <c r="I4" s="33"/>
      <c r="J4" s="4" t="s">
        <v>8</v>
      </c>
      <c r="K4" s="4" t="s">
        <v>9</v>
      </c>
      <c r="L4" s="4" t="s">
        <v>10</v>
      </c>
      <c r="N4" s="5" t="s">
        <v>11</v>
      </c>
      <c r="O4" s="6" t="s">
        <v>12</v>
      </c>
      <c r="P4" s="7" t="s">
        <v>13</v>
      </c>
      <c r="Q4" s="8" t="s">
        <v>14</v>
      </c>
      <c r="R4" s="9" t="s">
        <v>15</v>
      </c>
      <c r="S4" s="10" t="s">
        <v>16</v>
      </c>
      <c r="T4" s="10" t="s">
        <v>17</v>
      </c>
      <c r="U4" s="9" t="s">
        <v>18</v>
      </c>
      <c r="V4" s="9" t="s">
        <v>19</v>
      </c>
      <c r="W4" s="9" t="s">
        <v>20</v>
      </c>
      <c r="X4" s="5" t="s">
        <v>9</v>
      </c>
    </row>
    <row r="5" spans="8:24" ht="12.75">
      <c r="H5" s="4" t="s">
        <v>58</v>
      </c>
      <c r="I5" s="4" t="s">
        <v>59</v>
      </c>
      <c r="O5" s="11"/>
      <c r="P5" s="12"/>
      <c r="Q5" s="1"/>
      <c r="R5" s="12"/>
      <c r="S5" s="12"/>
      <c r="T5" s="12"/>
      <c r="U5" s="1"/>
      <c r="V5" s="13"/>
      <c r="W5" s="13"/>
      <c r="X5" s="13"/>
    </row>
    <row r="6" spans="1:22" ht="12" customHeight="1">
      <c r="A6">
        <v>101</v>
      </c>
      <c r="B6" t="s">
        <v>21</v>
      </c>
      <c r="C6" s="14"/>
      <c r="D6">
        <v>64420</v>
      </c>
      <c r="E6">
        <f>-56650+8500</f>
        <v>-48150</v>
      </c>
      <c r="F6">
        <f>3334+500+5000</f>
        <v>8834</v>
      </c>
      <c r="G6" s="14" t="s">
        <v>22</v>
      </c>
      <c r="J6">
        <v>79579</v>
      </c>
      <c r="L6">
        <f aca="true" t="shared" si="0" ref="L6:L20">SUM(D6:K6)</f>
        <v>104683</v>
      </c>
      <c r="N6">
        <f aca="true" t="shared" si="1" ref="N6:N20">SUM(O6:P6)</f>
        <v>104683</v>
      </c>
      <c r="O6" s="11">
        <f>L6</f>
        <v>104683</v>
      </c>
      <c r="P6" s="1"/>
      <c r="Q6" s="1"/>
      <c r="R6" s="1"/>
      <c r="S6" s="1"/>
      <c r="V6" s="1"/>
    </row>
    <row r="7" spans="1:23" ht="12" customHeight="1">
      <c r="A7">
        <v>102</v>
      </c>
      <c r="B7" t="s">
        <v>54</v>
      </c>
      <c r="C7" s="14"/>
      <c r="D7">
        <v>31720</v>
      </c>
      <c r="E7">
        <f>-24000+3000</f>
        <v>-21000</v>
      </c>
      <c r="F7">
        <f>3333+500+500</f>
        <v>4333</v>
      </c>
      <c r="G7" s="14" t="s">
        <v>22</v>
      </c>
      <c r="H7">
        <f>-ROUND(H$15*'[1]2004-5'!$E$19/'[1]2004-5'!$C$19,0)</f>
        <v>221325</v>
      </c>
      <c r="I7">
        <f>-ROUND(I$15*'[1]2004-5'!$D$34,0)</f>
        <v>61709</v>
      </c>
      <c r="J7">
        <v>35416</v>
      </c>
      <c r="L7">
        <f t="shared" si="0"/>
        <v>333503</v>
      </c>
      <c r="N7">
        <f t="shared" si="1"/>
        <v>333503</v>
      </c>
      <c r="O7" s="11">
        <f>L7</f>
        <v>333503</v>
      </c>
      <c r="P7" s="1"/>
      <c r="Q7" s="1"/>
      <c r="R7" s="1"/>
      <c r="S7" s="1"/>
      <c r="T7" s="1"/>
      <c r="W7" s="1"/>
    </row>
    <row r="8" spans="1:23" ht="12" customHeight="1">
      <c r="A8">
        <v>103</v>
      </c>
      <c r="B8" t="s">
        <v>24</v>
      </c>
      <c r="C8" s="14"/>
      <c r="D8">
        <v>60175</v>
      </c>
      <c r="E8">
        <f>-19000+700</f>
        <v>-18300</v>
      </c>
      <c r="F8">
        <f>3333+3500</f>
        <v>6833</v>
      </c>
      <c r="G8" s="14" t="s">
        <v>22</v>
      </c>
      <c r="J8">
        <v>50958</v>
      </c>
      <c r="L8">
        <f t="shared" si="0"/>
        <v>99666</v>
      </c>
      <c r="N8">
        <f t="shared" si="1"/>
        <v>99666</v>
      </c>
      <c r="O8" s="11">
        <f>L8</f>
        <v>99666</v>
      </c>
      <c r="P8" s="1"/>
      <c r="Q8" s="1"/>
      <c r="R8" s="1"/>
      <c r="S8" s="1"/>
      <c r="T8" s="1"/>
      <c r="W8" s="1"/>
    </row>
    <row r="9" spans="2:23" ht="12" customHeight="1">
      <c r="B9" t="s">
        <v>25</v>
      </c>
      <c r="C9" s="14">
        <v>5084</v>
      </c>
      <c r="D9">
        <v>0</v>
      </c>
      <c r="E9">
        <f>-8500-3000-700</f>
        <v>-12200</v>
      </c>
      <c r="G9" s="14"/>
      <c r="L9">
        <f t="shared" si="0"/>
        <v>-12200</v>
      </c>
      <c r="N9">
        <f t="shared" si="1"/>
        <v>-12200</v>
      </c>
      <c r="O9" s="11"/>
      <c r="P9" s="1">
        <f>L9</f>
        <v>-12200</v>
      </c>
      <c r="Q9" s="1"/>
      <c r="R9" s="1"/>
      <c r="S9" s="1"/>
      <c r="T9" s="1"/>
      <c r="W9" s="1"/>
    </row>
    <row r="10" spans="1:23" ht="12" customHeight="1">
      <c r="A10">
        <v>201</v>
      </c>
      <c r="B10" t="s">
        <v>26</v>
      </c>
      <c r="C10" s="14" t="s">
        <v>27</v>
      </c>
      <c r="D10">
        <f>1000+900</f>
        <v>1900</v>
      </c>
      <c r="F10">
        <v>10000</v>
      </c>
      <c r="H10">
        <f>-ROUND(H$15*'[1]2004-5'!$G$19/'[1]2004-5'!$C$19,0)</f>
        <v>7499</v>
      </c>
      <c r="I10">
        <f>-ROUND(I$15*'[1]2004-5'!$F$34,0)</f>
        <v>5273</v>
      </c>
      <c r="J10">
        <v>32748</v>
      </c>
      <c r="L10">
        <f t="shared" si="0"/>
        <v>57420</v>
      </c>
      <c r="N10">
        <f t="shared" si="1"/>
        <v>0</v>
      </c>
      <c r="O10" s="11"/>
      <c r="P10" s="1"/>
      <c r="Q10" s="1">
        <f>L10</f>
        <v>57420</v>
      </c>
      <c r="R10" s="1"/>
      <c r="S10" s="1"/>
      <c r="T10" s="1"/>
      <c r="W10" s="1"/>
    </row>
    <row r="11" spans="1:23" ht="12" customHeight="1">
      <c r="A11">
        <v>202</v>
      </c>
      <c r="B11" t="s">
        <v>28</v>
      </c>
      <c r="C11" s="14" t="s">
        <v>29</v>
      </c>
      <c r="D11">
        <v>0</v>
      </c>
      <c r="J11">
        <v>1770</v>
      </c>
      <c r="L11">
        <f t="shared" si="0"/>
        <v>1770</v>
      </c>
      <c r="N11">
        <f t="shared" si="1"/>
        <v>0</v>
      </c>
      <c r="O11" s="11"/>
      <c r="P11" s="1"/>
      <c r="Q11" s="1">
        <f>$L11</f>
        <v>1770</v>
      </c>
      <c r="R11" s="1"/>
      <c r="S11" s="1"/>
      <c r="T11" s="1"/>
      <c r="W11" s="1"/>
    </row>
    <row r="12" spans="1:23" ht="12" customHeight="1">
      <c r="A12">
        <v>206</v>
      </c>
      <c r="B12" t="s">
        <v>30</v>
      </c>
      <c r="C12" s="14" t="s">
        <v>43</v>
      </c>
      <c r="D12">
        <f>5000+16000+10000+33200</f>
        <v>64200</v>
      </c>
      <c r="L12">
        <f t="shared" si="0"/>
        <v>64200</v>
      </c>
      <c r="N12">
        <f t="shared" si="1"/>
        <v>0</v>
      </c>
      <c r="O12" s="11"/>
      <c r="P12" s="1"/>
      <c r="Q12" s="1"/>
      <c r="R12" s="1">
        <f>$L12</f>
        <v>64200</v>
      </c>
      <c r="S12" s="1"/>
      <c r="T12" s="1"/>
      <c r="W12" s="1"/>
    </row>
    <row r="13" spans="1:20" ht="12" customHeight="1">
      <c r="A13">
        <v>401</v>
      </c>
      <c r="B13" t="s">
        <v>16</v>
      </c>
      <c r="C13" s="14" t="s">
        <v>32</v>
      </c>
      <c r="D13">
        <f>3200+1700+6300+3000</f>
        <v>14200</v>
      </c>
      <c r="F13">
        <v>4000</v>
      </c>
      <c r="J13">
        <v>19304</v>
      </c>
      <c r="L13">
        <f t="shared" si="0"/>
        <v>37504</v>
      </c>
      <c r="N13">
        <f t="shared" si="1"/>
        <v>0</v>
      </c>
      <c r="O13" s="11"/>
      <c r="P13" s="1"/>
      <c r="Q13" s="1"/>
      <c r="R13" s="1"/>
      <c r="S13" s="1">
        <f>$L13</f>
        <v>37504</v>
      </c>
      <c r="T13" s="1"/>
    </row>
    <row r="14" spans="2:20" ht="12" customHeight="1">
      <c r="B14" t="s">
        <v>33</v>
      </c>
      <c r="C14" s="14" t="s">
        <v>56</v>
      </c>
      <c r="D14">
        <f>10000+5000</f>
        <v>15000</v>
      </c>
      <c r="L14">
        <f t="shared" si="0"/>
        <v>15000</v>
      </c>
      <c r="N14">
        <f t="shared" si="1"/>
        <v>0</v>
      </c>
      <c r="O14" s="11"/>
      <c r="P14" s="1"/>
      <c r="Q14" s="1"/>
      <c r="R14" s="1"/>
      <c r="S14" s="1"/>
      <c r="T14" s="1">
        <f>$L14</f>
        <v>15000</v>
      </c>
    </row>
    <row r="15" spans="2:21" ht="12" customHeight="1">
      <c r="B15" t="s">
        <v>34</v>
      </c>
      <c r="C15" s="14"/>
      <c r="D15">
        <f>503620-SUM(D9:D14)-SUM(D17:D18)</f>
        <v>402820</v>
      </c>
      <c r="F15">
        <v>1000</v>
      </c>
      <c r="H15">
        <v>-308000</v>
      </c>
      <c r="I15">
        <v>-108053</v>
      </c>
      <c r="J15">
        <v>12233</v>
      </c>
      <c r="L15">
        <f t="shared" si="0"/>
        <v>0</v>
      </c>
      <c r="N15">
        <f t="shared" si="1"/>
        <v>0</v>
      </c>
      <c r="O15" s="11"/>
      <c r="P15" s="1"/>
      <c r="Q15" s="1"/>
      <c r="R15" s="1"/>
      <c r="S15" s="1"/>
      <c r="T15" s="1"/>
      <c r="U15" s="1">
        <f>$L15</f>
        <v>0</v>
      </c>
    </row>
    <row r="16" spans="1:21" ht="12" customHeight="1">
      <c r="A16">
        <v>901</v>
      </c>
      <c r="B16" t="s">
        <v>35</v>
      </c>
      <c r="C16" s="14"/>
      <c r="H16">
        <f>-ROUND(H$15*'[1]2004-5'!$I$19/'[1]2004-5'!$C$19,0)</f>
        <v>37889</v>
      </c>
      <c r="I16">
        <f>-ROUND(I$15*'[1]2004-5'!$H$34,0)</f>
        <v>23264</v>
      </c>
      <c r="L16">
        <f t="shared" si="0"/>
        <v>61153</v>
      </c>
      <c r="N16">
        <f t="shared" si="1"/>
        <v>0</v>
      </c>
      <c r="O16" s="11"/>
      <c r="P16" s="1"/>
      <c r="Q16" s="1"/>
      <c r="R16" s="1"/>
      <c r="S16" s="1"/>
      <c r="T16" s="1"/>
      <c r="U16" s="1">
        <f>$L16</f>
        <v>61153</v>
      </c>
    </row>
    <row r="17" spans="1:22" ht="12" customHeight="1">
      <c r="A17">
        <v>902</v>
      </c>
      <c r="B17" t="s">
        <v>36</v>
      </c>
      <c r="C17" s="14">
        <v>5086</v>
      </c>
      <c r="D17">
        <v>5000</v>
      </c>
      <c r="H17">
        <f>-ROUND(H$15*'[1]2004-5'!$K$19/'[1]2004-5'!$C$19,0)</f>
        <v>36884</v>
      </c>
      <c r="I17">
        <f>-ROUND(I$15*'[1]2004-5'!$J$34,0)</f>
        <v>16132</v>
      </c>
      <c r="J17">
        <v>801</v>
      </c>
      <c r="L17">
        <f t="shared" si="0"/>
        <v>58817</v>
      </c>
      <c r="N17">
        <f t="shared" si="1"/>
        <v>0</v>
      </c>
      <c r="O17" s="11"/>
      <c r="P17" s="1"/>
      <c r="Q17" s="1"/>
      <c r="R17" s="1"/>
      <c r="S17" s="1"/>
      <c r="T17" s="1"/>
      <c r="V17" s="1">
        <f>$L17</f>
        <v>58817</v>
      </c>
    </row>
    <row r="18" spans="1:23" ht="12" customHeight="1">
      <c r="A18">
        <v>903</v>
      </c>
      <c r="B18" t="s">
        <v>20</v>
      </c>
      <c r="C18" s="14">
        <v>5073</v>
      </c>
      <c r="D18">
        <v>500</v>
      </c>
      <c r="H18">
        <f>-ROUND(H$15*'[1]2004-5'!$M$19/'[1]2004-5'!$C$19,0)</f>
        <v>4403</v>
      </c>
      <c r="I18">
        <f>-ROUND(I$15*'[1]2004-5'!$L$34,0)</f>
        <v>1675</v>
      </c>
      <c r="J18">
        <v>60</v>
      </c>
      <c r="L18">
        <f t="shared" si="0"/>
        <v>6638</v>
      </c>
      <c r="N18">
        <f t="shared" si="1"/>
        <v>0</v>
      </c>
      <c r="O18" s="11"/>
      <c r="P18" s="1"/>
      <c r="Q18" s="1"/>
      <c r="R18" s="1"/>
      <c r="S18" s="1"/>
      <c r="T18" s="1"/>
      <c r="W18" s="1">
        <f>$L18</f>
        <v>6638</v>
      </c>
    </row>
    <row r="19" spans="2:20" ht="12" customHeight="1">
      <c r="B19" t="s">
        <v>37</v>
      </c>
      <c r="C19" s="14"/>
      <c r="D19">
        <v>41500</v>
      </c>
      <c r="F19">
        <f>-D19</f>
        <v>-41500</v>
      </c>
      <c r="L19">
        <f t="shared" si="0"/>
        <v>0</v>
      </c>
      <c r="N19">
        <f t="shared" si="1"/>
        <v>0</v>
      </c>
      <c r="O19" s="11"/>
      <c r="P19" s="1"/>
      <c r="Q19" s="1"/>
      <c r="R19" s="1"/>
      <c r="S19" s="1"/>
      <c r="T19" s="1"/>
    </row>
    <row r="20" spans="2:24" ht="12.75">
      <c r="B20" t="s">
        <v>9</v>
      </c>
      <c r="C20" s="14"/>
      <c r="E20">
        <v>-30000</v>
      </c>
      <c r="L20">
        <f t="shared" si="0"/>
        <v>-30000</v>
      </c>
      <c r="N20">
        <f t="shared" si="1"/>
        <v>0</v>
      </c>
      <c r="O20" s="11"/>
      <c r="P20" s="1"/>
      <c r="Q20" s="15"/>
      <c r="R20" s="1"/>
      <c r="S20" s="1"/>
      <c r="T20" s="1"/>
      <c r="X20" s="1">
        <f>$L20</f>
        <v>-30000</v>
      </c>
    </row>
    <row r="21" spans="4:24" ht="13.5" thickBot="1">
      <c r="D21" s="16">
        <f>SUM(D6:D20)</f>
        <v>701435</v>
      </c>
      <c r="E21" s="16">
        <f>SUM(E6:E20)</f>
        <v>-129650</v>
      </c>
      <c r="F21" s="16">
        <f>SUM(F6:F20)</f>
        <v>-6500</v>
      </c>
      <c r="G21" s="16"/>
      <c r="H21" s="16">
        <f>SUM(H6:H20)</f>
        <v>0</v>
      </c>
      <c r="I21" s="16">
        <f>SUM(I6:I20)</f>
        <v>0</v>
      </c>
      <c r="J21" s="16">
        <f>SUM(J6:J20)</f>
        <v>232869</v>
      </c>
      <c r="K21" s="16">
        <f>SUM(K6:K20)</f>
        <v>0</v>
      </c>
      <c r="L21" s="16">
        <f>SUM(L6:L20)</f>
        <v>798154</v>
      </c>
      <c r="N21" s="16">
        <f aca="true" t="shared" si="2" ref="N21:X21">SUM(N5:N20)</f>
        <v>525652</v>
      </c>
      <c r="O21" s="16">
        <f t="shared" si="2"/>
        <v>537852</v>
      </c>
      <c r="P21" s="16">
        <f t="shared" si="2"/>
        <v>-12200</v>
      </c>
      <c r="Q21" s="17">
        <f t="shared" si="2"/>
        <v>59190</v>
      </c>
      <c r="R21" s="16">
        <f t="shared" si="2"/>
        <v>64200</v>
      </c>
      <c r="S21" s="16">
        <f t="shared" si="2"/>
        <v>37504</v>
      </c>
      <c r="T21" s="16">
        <f t="shared" si="2"/>
        <v>15000</v>
      </c>
      <c r="U21" s="16">
        <f t="shared" si="2"/>
        <v>61153</v>
      </c>
      <c r="V21" s="16">
        <f t="shared" si="2"/>
        <v>58817</v>
      </c>
      <c r="W21" s="16">
        <f t="shared" si="2"/>
        <v>6638</v>
      </c>
      <c r="X21" s="16">
        <f t="shared" si="2"/>
        <v>-30000</v>
      </c>
    </row>
    <row r="22" spans="14:24" ht="14.25" thickBot="1" thickTop="1">
      <c r="N22" s="18">
        <f>N21</f>
        <v>525652</v>
      </c>
      <c r="O22" s="1"/>
      <c r="P22" s="1"/>
      <c r="Q22" s="18">
        <f>Q21</f>
        <v>59190</v>
      </c>
      <c r="R22" s="18">
        <f>R21</f>
        <v>64200</v>
      </c>
      <c r="S22" s="18">
        <f>S21</f>
        <v>37504</v>
      </c>
      <c r="T22" s="18">
        <f>T21</f>
        <v>15000</v>
      </c>
      <c r="U22" s="18">
        <f>U21</f>
        <v>61153</v>
      </c>
      <c r="V22" s="34">
        <f>V21+W21</f>
        <v>65455</v>
      </c>
      <c r="W22" s="34"/>
      <c r="X22" s="18">
        <f>X21</f>
        <v>-30000</v>
      </c>
    </row>
    <row r="23" spans="1:13" ht="14.25" thickBot="1" thickTop="1">
      <c r="A23" t="s">
        <v>39</v>
      </c>
      <c r="D23" s="17">
        <v>653796</v>
      </c>
      <c r="F23" s="1"/>
      <c r="G23" s="1"/>
      <c r="L23" s="17">
        <f>D23</f>
        <v>653796</v>
      </c>
      <c r="M23" s="17">
        <f>SUM(N22:X22)</f>
        <v>798154</v>
      </c>
    </row>
    <row r="24" spans="1:11" ht="13.5" thickTop="1">
      <c r="A24" t="s">
        <v>40</v>
      </c>
      <c r="K24" s="1"/>
    </row>
    <row r="25" spans="1:12" ht="13.5" thickBot="1">
      <c r="A25" t="s">
        <v>41</v>
      </c>
      <c r="D25" s="35">
        <f>D21-D23+E21</f>
        <v>-82011</v>
      </c>
      <c r="E25" s="35"/>
      <c r="F25" s="17">
        <f>F21</f>
        <v>-6500</v>
      </c>
      <c r="G25" s="17"/>
      <c r="H25" s="17">
        <f>H21</f>
        <v>0</v>
      </c>
      <c r="I25" s="17"/>
      <c r="J25" s="17">
        <f>J21</f>
        <v>232869</v>
      </c>
      <c r="K25" s="17">
        <f>K21</f>
        <v>0</v>
      </c>
      <c r="L25" s="17">
        <f>L21-L23</f>
        <v>144358</v>
      </c>
    </row>
    <row r="26" ht="13.5" thickTop="1"/>
    <row r="28" spans="1:5" ht="12.75">
      <c r="A28" t="s">
        <v>44</v>
      </c>
      <c r="B28" t="s">
        <v>45</v>
      </c>
      <c r="C28" s="1"/>
      <c r="D28" t="s">
        <v>53</v>
      </c>
      <c r="E28" t="s">
        <v>6</v>
      </c>
    </row>
    <row r="29" spans="1:4" ht="12.75">
      <c r="A29">
        <v>9015</v>
      </c>
      <c r="B29" t="s">
        <v>46</v>
      </c>
      <c r="C29" s="1"/>
      <c r="D29">
        <v>15000</v>
      </c>
    </row>
    <row r="30" spans="2:5" ht="12.75">
      <c r="B30" t="s">
        <v>47</v>
      </c>
      <c r="C30" s="1"/>
      <c r="D30">
        <v>-5000</v>
      </c>
      <c r="E30">
        <v>5000</v>
      </c>
    </row>
    <row r="31" ht="12.75">
      <c r="B31" t="s">
        <v>48</v>
      </c>
    </row>
    <row r="32" spans="1:4" ht="12.75">
      <c r="A32">
        <v>9020</v>
      </c>
      <c r="B32" t="s">
        <v>55</v>
      </c>
      <c r="D32">
        <v>10000</v>
      </c>
    </row>
    <row r="33" spans="1:4" ht="12.75">
      <c r="A33">
        <v>9022</v>
      </c>
      <c r="B33" t="s">
        <v>49</v>
      </c>
      <c r="D33">
        <v>4000</v>
      </c>
    </row>
    <row r="34" spans="1:5" ht="12.75">
      <c r="A34">
        <v>9024</v>
      </c>
      <c r="B34" t="s">
        <v>52</v>
      </c>
      <c r="E34">
        <v>500</v>
      </c>
    </row>
    <row r="35" spans="1:4" ht="12.75">
      <c r="A35">
        <v>9025</v>
      </c>
      <c r="B35" t="s">
        <v>50</v>
      </c>
      <c r="D35">
        <v>500</v>
      </c>
    </row>
    <row r="36" spans="1:4" ht="12.75">
      <c r="A36">
        <v>9026</v>
      </c>
      <c r="B36" t="s">
        <v>54</v>
      </c>
      <c r="D36">
        <v>500</v>
      </c>
    </row>
    <row r="37" spans="1:4" ht="12.75">
      <c r="A37">
        <v>9027</v>
      </c>
      <c r="B37" t="s">
        <v>24</v>
      </c>
      <c r="D37">
        <v>3500</v>
      </c>
    </row>
    <row r="38" spans="1:2" ht="12.75">
      <c r="A38">
        <v>9028</v>
      </c>
      <c r="B38" t="s">
        <v>52</v>
      </c>
    </row>
    <row r="39" spans="1:4" ht="12.75">
      <c r="A39">
        <v>9029</v>
      </c>
      <c r="B39" t="s">
        <v>51</v>
      </c>
      <c r="D39">
        <v>1000</v>
      </c>
    </row>
    <row r="40" spans="1:4" ht="12.75">
      <c r="A40">
        <v>9030</v>
      </c>
      <c r="B40" t="s">
        <v>50</v>
      </c>
      <c r="D40">
        <v>5000</v>
      </c>
    </row>
    <row r="41" spans="1:4" ht="12.75">
      <c r="A41">
        <v>9031</v>
      </c>
      <c r="B41" t="s">
        <v>54</v>
      </c>
      <c r="D41">
        <v>500</v>
      </c>
    </row>
    <row r="42" spans="1:5" ht="12.75">
      <c r="A42">
        <v>9032</v>
      </c>
      <c r="B42" t="s">
        <v>52</v>
      </c>
      <c r="E42">
        <v>1000</v>
      </c>
    </row>
    <row r="43" spans="3:5" ht="12.75">
      <c r="C43" s="19">
        <f>SUM(D43:E43)</f>
        <v>41500</v>
      </c>
      <c r="D43" s="19">
        <f>SUM(D29:D42)</f>
        <v>35000</v>
      </c>
      <c r="E43" s="19">
        <f>SUM(E29:E42)</f>
        <v>6500</v>
      </c>
    </row>
    <row r="49" spans="21:24" ht="12.75">
      <c r="U49" s="1"/>
      <c r="V49" s="1"/>
      <c r="W49" s="1"/>
      <c r="X49" s="1"/>
    </row>
    <row r="50" spans="21:24" ht="12.75">
      <c r="U50" s="1"/>
      <c r="V50" s="1"/>
      <c r="W50" s="1"/>
      <c r="X50" s="1"/>
    </row>
    <row r="51" spans="21:24" ht="12.75">
      <c r="U51" s="1"/>
      <c r="V51" s="1"/>
      <c r="W51" s="1"/>
      <c r="X51" s="1"/>
    </row>
  </sheetData>
  <sheetProtection/>
  <mergeCells count="3">
    <mergeCell ref="V22:W22"/>
    <mergeCell ref="D25:E25"/>
    <mergeCell ref="H4:I4"/>
  </mergeCells>
  <printOptions/>
  <pageMargins left="0.2" right="0.22" top="0.27" bottom="0.62" header="0.2" footer="0.25"/>
  <pageSetup fitToHeight="1" fitToWidth="1" horizontalDpi="300" verticalDpi="300" orientation="landscape" paperSize="9" scale="65" r:id="rId1"/>
  <headerFooter alignWithMargins="0">
    <oddFooter>&amp;LPrepared by:
RBS Accounting Solutions&amp;CFor:
Bradley Stoke Town Council&amp;R&amp;T
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W49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6.421875" style="0" customWidth="1"/>
    <col min="2" max="2" width="23.140625" style="0" customWidth="1"/>
    <col min="3" max="3" width="14.28125" style="0" customWidth="1"/>
    <col min="5" max="5" width="9.00390625" style="0" customWidth="1"/>
    <col min="6" max="6" width="10.57421875" style="0" customWidth="1"/>
    <col min="7" max="7" width="3.8515625" style="0" customWidth="1"/>
    <col min="12" max="12" width="7.57421875" style="0" bestFit="1" customWidth="1"/>
    <col min="13" max="13" width="8.7109375" style="0" customWidth="1"/>
    <col min="14" max="14" width="10.8515625" style="0" bestFit="1" customWidth="1"/>
    <col min="15" max="15" width="9.57421875" style="0" bestFit="1" customWidth="1"/>
    <col min="16" max="16" width="10.7109375" style="0" bestFit="1" customWidth="1"/>
    <col min="17" max="17" width="10.8515625" style="0" bestFit="1" customWidth="1"/>
    <col min="18" max="18" width="6.57421875" style="0" bestFit="1" customWidth="1"/>
    <col min="19" max="19" width="6.57421875" style="0" customWidth="1"/>
    <col min="21" max="21" width="6.28125" style="0" customWidth="1"/>
    <col min="22" max="22" width="6.00390625" style="0" bestFit="1" customWidth="1"/>
    <col min="23" max="23" width="7.7109375" style="0" customWidth="1"/>
  </cols>
  <sheetData>
    <row r="1" spans="1:5" ht="12.75">
      <c r="A1" s="2" t="s">
        <v>0</v>
      </c>
      <c r="E1" s="2" t="s">
        <v>1</v>
      </c>
    </row>
    <row r="2" spans="1:5" ht="12.75">
      <c r="A2" s="2"/>
      <c r="E2" s="2"/>
    </row>
    <row r="3" spans="1:11" ht="13.5" thickBot="1">
      <c r="A3" s="2"/>
      <c r="B3" s="2"/>
      <c r="C3" s="2"/>
      <c r="D3" s="3" t="s">
        <v>2</v>
      </c>
      <c r="E3" s="3"/>
      <c r="F3" s="3"/>
      <c r="G3" s="3"/>
      <c r="H3" s="3"/>
      <c r="I3" s="3"/>
      <c r="J3" s="4"/>
      <c r="K3" s="4"/>
    </row>
    <row r="4" spans="3:23" ht="13.5" thickBot="1">
      <c r="C4" s="4" t="s">
        <v>3</v>
      </c>
      <c r="D4" s="4" t="s">
        <v>4</v>
      </c>
      <c r="E4" s="4" t="s">
        <v>5</v>
      </c>
      <c r="F4" s="4" t="s">
        <v>6</v>
      </c>
      <c r="G4" s="4"/>
      <c r="H4" s="4" t="s">
        <v>7</v>
      </c>
      <c r="I4" s="4" t="s">
        <v>8</v>
      </c>
      <c r="J4" s="4" t="s">
        <v>9</v>
      </c>
      <c r="K4" s="4" t="s">
        <v>10</v>
      </c>
      <c r="M4" s="5" t="s">
        <v>11</v>
      </c>
      <c r="N4" s="6" t="s">
        <v>12</v>
      </c>
      <c r="O4" s="7" t="s">
        <v>13</v>
      </c>
      <c r="P4" s="8" t="s">
        <v>14</v>
      </c>
      <c r="Q4" s="9" t="s">
        <v>15</v>
      </c>
      <c r="R4" s="10" t="s">
        <v>16</v>
      </c>
      <c r="S4" s="10" t="s">
        <v>17</v>
      </c>
      <c r="T4" s="9" t="s">
        <v>18</v>
      </c>
      <c r="U4" s="9" t="s">
        <v>19</v>
      </c>
      <c r="V4" s="9" t="s">
        <v>20</v>
      </c>
      <c r="W4" s="5" t="s">
        <v>9</v>
      </c>
    </row>
    <row r="5" spans="14:23" ht="12.75">
      <c r="N5" s="11"/>
      <c r="O5" s="12"/>
      <c r="P5" s="1"/>
      <c r="Q5" s="12"/>
      <c r="R5" s="12"/>
      <c r="S5" s="12"/>
      <c r="T5" s="1"/>
      <c r="U5" s="13"/>
      <c r="V5" s="13"/>
      <c r="W5" s="13"/>
    </row>
    <row r="6" spans="1:21" ht="12" customHeight="1">
      <c r="A6">
        <v>101</v>
      </c>
      <c r="B6" t="s">
        <v>21</v>
      </c>
      <c r="C6" s="14"/>
      <c r="D6">
        <v>48488</v>
      </c>
      <c r="E6">
        <v>-35000</v>
      </c>
      <c r="G6" s="14" t="s">
        <v>22</v>
      </c>
      <c r="I6">
        <v>80068</v>
      </c>
      <c r="K6">
        <f aca="true" t="shared" si="0" ref="K6:K20">SUM(D6:J6)</f>
        <v>93556</v>
      </c>
      <c r="M6">
        <f aca="true" t="shared" si="1" ref="M6:M20">SUM(N6:O6)</f>
        <v>93556</v>
      </c>
      <c r="N6" s="11">
        <f>K6</f>
        <v>93556</v>
      </c>
      <c r="O6" s="1"/>
      <c r="P6" s="1"/>
      <c r="Q6" s="1"/>
      <c r="R6" s="1"/>
      <c r="U6" s="1"/>
    </row>
    <row r="7" spans="1:22" ht="12" customHeight="1">
      <c r="A7">
        <v>102</v>
      </c>
      <c r="B7" t="s">
        <v>23</v>
      </c>
      <c r="C7" s="14"/>
      <c r="D7">
        <v>30330</v>
      </c>
      <c r="E7">
        <v>-26000</v>
      </c>
      <c r="G7" s="14" t="s">
        <v>22</v>
      </c>
      <c r="H7">
        <f>187430+38872</f>
        <v>226302</v>
      </c>
      <c r="I7">
        <v>35559</v>
      </c>
      <c r="K7">
        <f t="shared" si="0"/>
        <v>266191</v>
      </c>
      <c r="M7">
        <f t="shared" si="1"/>
        <v>266191</v>
      </c>
      <c r="N7" s="11">
        <f>K7</f>
        <v>266191</v>
      </c>
      <c r="O7" s="1"/>
      <c r="P7" s="1"/>
      <c r="Q7" s="1"/>
      <c r="R7" s="1"/>
      <c r="S7" s="1"/>
      <c r="V7" s="1"/>
    </row>
    <row r="8" spans="1:22" ht="12" customHeight="1">
      <c r="A8">
        <v>103</v>
      </c>
      <c r="B8" t="s">
        <v>24</v>
      </c>
      <c r="C8" s="14"/>
      <c r="D8">
        <v>49280</v>
      </c>
      <c r="E8">
        <v>-20000</v>
      </c>
      <c r="G8" s="14" t="s">
        <v>22</v>
      </c>
      <c r="I8">
        <f>51533+55</f>
        <v>51588</v>
      </c>
      <c r="K8">
        <f>SUM(D8:J8)</f>
        <v>80868</v>
      </c>
      <c r="M8">
        <f t="shared" si="1"/>
        <v>80868</v>
      </c>
      <c r="N8" s="11">
        <f>K8</f>
        <v>80868</v>
      </c>
      <c r="O8" s="1"/>
      <c r="P8" s="1"/>
      <c r="Q8" s="1"/>
      <c r="R8" s="1"/>
      <c r="S8" s="1"/>
      <c r="V8" s="1"/>
    </row>
    <row r="9" spans="2:22" ht="12" customHeight="1">
      <c r="B9" t="s">
        <v>25</v>
      </c>
      <c r="C9" s="14">
        <v>5084</v>
      </c>
      <c r="D9">
        <v>0</v>
      </c>
      <c r="G9" s="14"/>
      <c r="K9">
        <f>SUM(D9:J9)</f>
        <v>0</v>
      </c>
      <c r="M9">
        <f t="shared" si="1"/>
        <v>0</v>
      </c>
      <c r="N9" s="11"/>
      <c r="O9" s="1">
        <f>K9</f>
        <v>0</v>
      </c>
      <c r="P9" s="1"/>
      <c r="Q9" s="1"/>
      <c r="R9" s="1"/>
      <c r="S9" s="1"/>
      <c r="V9" s="1"/>
    </row>
    <row r="10" spans="1:22" ht="12" customHeight="1">
      <c r="A10">
        <v>201</v>
      </c>
      <c r="B10" t="s">
        <v>26</v>
      </c>
      <c r="C10" s="14" t="s">
        <v>27</v>
      </c>
      <c r="D10">
        <v>1300</v>
      </c>
      <c r="I10">
        <v>22361</v>
      </c>
      <c r="K10">
        <f>SUM(D10:J10)</f>
        <v>23661</v>
      </c>
      <c r="M10">
        <f t="shared" si="1"/>
        <v>0</v>
      </c>
      <c r="N10" s="11"/>
      <c r="O10" s="1"/>
      <c r="P10" s="1">
        <f>K10</f>
        <v>23661</v>
      </c>
      <c r="Q10" s="1"/>
      <c r="R10" s="1"/>
      <c r="S10" s="1"/>
      <c r="V10" s="1"/>
    </row>
    <row r="11" spans="1:22" ht="12" customHeight="1">
      <c r="A11">
        <v>202</v>
      </c>
      <c r="B11" t="s">
        <v>28</v>
      </c>
      <c r="C11" s="14" t="s">
        <v>29</v>
      </c>
      <c r="D11">
        <v>0</v>
      </c>
      <c r="I11">
        <v>516</v>
      </c>
      <c r="K11">
        <f>SUM(D11:J11)</f>
        <v>516</v>
      </c>
      <c r="M11">
        <f t="shared" si="1"/>
        <v>0</v>
      </c>
      <c r="N11" s="11"/>
      <c r="O11" s="1"/>
      <c r="P11" s="1">
        <f>$K11</f>
        <v>516</v>
      </c>
      <c r="Q11" s="1"/>
      <c r="R11" s="1"/>
      <c r="S11" s="1"/>
      <c r="V11" s="1"/>
    </row>
    <row r="12" spans="1:22" ht="12" customHeight="1">
      <c r="A12">
        <v>206</v>
      </c>
      <c r="B12" t="s">
        <v>30</v>
      </c>
      <c r="C12" s="14" t="s">
        <v>31</v>
      </c>
      <c r="D12">
        <f>5000+20000+10000+2500</f>
        <v>37500</v>
      </c>
      <c r="K12">
        <f>SUM(D12:J12)</f>
        <v>37500</v>
      </c>
      <c r="M12">
        <f t="shared" si="1"/>
        <v>0</v>
      </c>
      <c r="N12" s="11"/>
      <c r="O12" s="1"/>
      <c r="P12" s="1"/>
      <c r="Q12" s="1">
        <f>$K12</f>
        <v>37500</v>
      </c>
      <c r="R12" s="1"/>
      <c r="S12" s="1"/>
      <c r="V12" s="1"/>
    </row>
    <row r="13" spans="1:19" ht="12" customHeight="1">
      <c r="A13">
        <v>401</v>
      </c>
      <c r="B13" t="s">
        <v>16</v>
      </c>
      <c r="C13" s="14" t="s">
        <v>32</v>
      </c>
      <c r="D13">
        <f>25000+3000+6100+1261</f>
        <v>35361</v>
      </c>
      <c r="I13">
        <v>19753</v>
      </c>
      <c r="K13">
        <f t="shared" si="0"/>
        <v>55114</v>
      </c>
      <c r="M13">
        <f t="shared" si="1"/>
        <v>0</v>
      </c>
      <c r="N13" s="11"/>
      <c r="O13" s="1"/>
      <c r="P13" s="1"/>
      <c r="Q13" s="1"/>
      <c r="R13" s="1">
        <f>$K13</f>
        <v>55114</v>
      </c>
      <c r="S13" s="1"/>
    </row>
    <row r="14" spans="2:19" ht="12" customHeight="1">
      <c r="B14" t="s">
        <v>33</v>
      </c>
      <c r="C14" s="14">
        <v>5087</v>
      </c>
      <c r="K14">
        <f t="shared" si="0"/>
        <v>0</v>
      </c>
      <c r="M14">
        <f t="shared" si="1"/>
        <v>0</v>
      </c>
      <c r="N14" s="11"/>
      <c r="O14" s="1"/>
      <c r="P14" s="1"/>
      <c r="Q14" s="1"/>
      <c r="R14" s="1"/>
      <c r="S14" s="1">
        <f>$K14</f>
        <v>0</v>
      </c>
    </row>
    <row r="15" spans="2:20" ht="12" customHeight="1">
      <c r="B15" t="s">
        <v>34</v>
      </c>
      <c r="C15" s="14"/>
      <c r="D15">
        <f>371638-SUM(D10:D13)-D17+2500</f>
        <v>294981</v>
      </c>
      <c r="H15">
        <v>-339965</v>
      </c>
      <c r="I15">
        <v>11534</v>
      </c>
      <c r="K15">
        <f t="shared" si="0"/>
        <v>-33450</v>
      </c>
      <c r="M15">
        <f t="shared" si="1"/>
        <v>0</v>
      </c>
      <c r="N15" s="11"/>
      <c r="O15" s="1"/>
      <c r="P15" s="1"/>
      <c r="Q15" s="1"/>
      <c r="R15" s="1"/>
      <c r="S15" s="1"/>
      <c r="T15" s="1">
        <f>$K15</f>
        <v>-33450</v>
      </c>
    </row>
    <row r="16" spans="1:20" ht="12" customHeight="1">
      <c r="A16">
        <v>901</v>
      </c>
      <c r="B16" t="s">
        <v>35</v>
      </c>
      <c r="C16" s="14"/>
      <c r="H16">
        <f>21181+31364</f>
        <v>52545</v>
      </c>
      <c r="K16">
        <f t="shared" si="0"/>
        <v>52545</v>
      </c>
      <c r="M16">
        <f t="shared" si="1"/>
        <v>0</v>
      </c>
      <c r="N16" s="11"/>
      <c r="O16" s="1"/>
      <c r="P16" s="1"/>
      <c r="Q16" s="1"/>
      <c r="R16" s="1"/>
      <c r="S16" s="1"/>
      <c r="T16" s="1">
        <f>$K16</f>
        <v>52545</v>
      </c>
    </row>
    <row r="17" spans="1:21" ht="12" customHeight="1">
      <c r="A17">
        <v>902</v>
      </c>
      <c r="B17" t="s">
        <v>36</v>
      </c>
      <c r="C17" s="14">
        <v>5086</v>
      </c>
      <c r="D17">
        <v>4996</v>
      </c>
      <c r="H17">
        <f>29424+24946</f>
        <v>54370</v>
      </c>
      <c r="I17">
        <v>820</v>
      </c>
      <c r="K17">
        <f t="shared" si="0"/>
        <v>60186</v>
      </c>
      <c r="M17">
        <f t="shared" si="1"/>
        <v>0</v>
      </c>
      <c r="N17" s="11"/>
      <c r="O17" s="1"/>
      <c r="P17" s="1"/>
      <c r="Q17" s="1"/>
      <c r="R17" s="1"/>
      <c r="S17" s="1"/>
      <c r="U17" s="1">
        <f>$K17</f>
        <v>60186</v>
      </c>
    </row>
    <row r="18" spans="1:22" ht="12" customHeight="1">
      <c r="A18">
        <v>903</v>
      </c>
      <c r="B18" t="s">
        <v>20</v>
      </c>
      <c r="C18" s="14">
        <v>5073</v>
      </c>
      <c r="H18">
        <f>3794+2954</f>
        <v>6748</v>
      </c>
      <c r="I18">
        <v>58</v>
      </c>
      <c r="K18">
        <f t="shared" si="0"/>
        <v>6806</v>
      </c>
      <c r="M18">
        <f t="shared" si="1"/>
        <v>0</v>
      </c>
      <c r="N18" s="11"/>
      <c r="O18" s="1"/>
      <c r="P18" s="1"/>
      <c r="Q18" s="1"/>
      <c r="R18" s="1"/>
      <c r="S18" s="1"/>
      <c r="V18" s="1">
        <f>$K18</f>
        <v>6806</v>
      </c>
    </row>
    <row r="19" spans="2:19" ht="12" customHeight="1">
      <c r="B19" t="s">
        <v>37</v>
      </c>
      <c r="C19" s="14"/>
      <c r="D19">
        <f>34612+156977-2500</f>
        <v>189089</v>
      </c>
      <c r="F19">
        <f>-D19</f>
        <v>-189089</v>
      </c>
      <c r="K19">
        <f t="shared" si="0"/>
        <v>0</v>
      </c>
      <c r="M19">
        <f t="shared" si="1"/>
        <v>0</v>
      </c>
      <c r="N19" s="11"/>
      <c r="O19" s="1"/>
      <c r="P19" s="1"/>
      <c r="Q19" s="1"/>
      <c r="R19" s="1"/>
      <c r="S19" s="1"/>
    </row>
    <row r="20" spans="2:23" ht="12.75">
      <c r="B20" t="s">
        <v>9</v>
      </c>
      <c r="C20" s="14"/>
      <c r="E20">
        <v>-30000</v>
      </c>
      <c r="K20">
        <f t="shared" si="0"/>
        <v>-30000</v>
      </c>
      <c r="M20">
        <f t="shared" si="1"/>
        <v>0</v>
      </c>
      <c r="N20" s="11"/>
      <c r="O20" s="1"/>
      <c r="P20" s="15"/>
      <c r="Q20" s="1"/>
      <c r="R20" s="1"/>
      <c r="S20" s="1"/>
      <c r="W20" s="1">
        <f>$K20</f>
        <v>-30000</v>
      </c>
    </row>
    <row r="21" spans="4:23" ht="13.5" thickBot="1">
      <c r="D21" s="16">
        <f>SUM(D6:D20)</f>
        <v>691325</v>
      </c>
      <c r="E21" s="16">
        <f>SUM(E6:E20)</f>
        <v>-111000</v>
      </c>
      <c r="F21" s="16">
        <f>SUM(F6:F20)</f>
        <v>-189089</v>
      </c>
      <c r="G21" s="16"/>
      <c r="H21" s="16">
        <f>SUM(H6:H20)</f>
        <v>0</v>
      </c>
      <c r="I21" s="16">
        <f>SUM(I6:I20)</f>
        <v>222257</v>
      </c>
      <c r="J21" s="16">
        <f>SUM(J6:J20)</f>
        <v>0</v>
      </c>
      <c r="K21" s="16">
        <f>SUM(K6:K20)</f>
        <v>613493</v>
      </c>
      <c r="M21" s="16">
        <f aca="true" t="shared" si="2" ref="M21:W21">SUM(M5:M20)</f>
        <v>440615</v>
      </c>
      <c r="N21" s="16">
        <f t="shared" si="2"/>
        <v>440615</v>
      </c>
      <c r="O21" s="16">
        <f t="shared" si="2"/>
        <v>0</v>
      </c>
      <c r="P21" s="17">
        <f t="shared" si="2"/>
        <v>24177</v>
      </c>
      <c r="Q21" s="16">
        <f t="shared" si="2"/>
        <v>37500</v>
      </c>
      <c r="R21" s="16">
        <f t="shared" si="2"/>
        <v>55114</v>
      </c>
      <c r="S21" s="16">
        <f t="shared" si="2"/>
        <v>0</v>
      </c>
      <c r="T21" s="16">
        <f t="shared" si="2"/>
        <v>19095</v>
      </c>
      <c r="U21" s="16">
        <f t="shared" si="2"/>
        <v>60186</v>
      </c>
      <c r="V21" s="16">
        <f t="shared" si="2"/>
        <v>6806</v>
      </c>
      <c r="W21" s="16">
        <f t="shared" si="2"/>
        <v>-30000</v>
      </c>
    </row>
    <row r="22" spans="1:23" ht="14.25" thickBot="1" thickTop="1">
      <c r="A22" t="s">
        <v>38</v>
      </c>
      <c r="M22" s="18">
        <f>M21</f>
        <v>440615</v>
      </c>
      <c r="N22" s="1"/>
      <c r="O22" s="1"/>
      <c r="P22" s="18">
        <f>P21</f>
        <v>24177</v>
      </c>
      <c r="Q22" s="18">
        <f>Q21</f>
        <v>37500</v>
      </c>
      <c r="R22" s="18">
        <f>R21</f>
        <v>55114</v>
      </c>
      <c r="S22" s="18">
        <f>S21</f>
        <v>0</v>
      </c>
      <c r="T22" s="18">
        <f>T21</f>
        <v>19095</v>
      </c>
      <c r="U22" s="34">
        <f>U21+V21</f>
        <v>66992</v>
      </c>
      <c r="V22" s="34"/>
      <c r="W22" s="18">
        <f>W21</f>
        <v>-30000</v>
      </c>
    </row>
    <row r="23" spans="1:12" ht="14.25" thickBot="1" thickTop="1">
      <c r="A23" t="s">
        <v>39</v>
      </c>
      <c r="D23" s="17">
        <v>416430</v>
      </c>
      <c r="F23" s="1"/>
      <c r="G23" s="1"/>
      <c r="K23" s="17">
        <f>D23</f>
        <v>416430</v>
      </c>
      <c r="L23" s="17">
        <f>SUM(M22:W22)</f>
        <v>613493</v>
      </c>
    </row>
    <row r="24" spans="1:10" ht="13.5" thickTop="1">
      <c r="A24" t="s">
        <v>40</v>
      </c>
      <c r="J24" s="1"/>
    </row>
    <row r="25" spans="1:11" ht="13.5" thickBot="1">
      <c r="A25" t="s">
        <v>41</v>
      </c>
      <c r="D25" s="35">
        <f>D21-D23+E21</f>
        <v>163895</v>
      </c>
      <c r="E25" s="35"/>
      <c r="F25" s="17">
        <f>F21</f>
        <v>-189089</v>
      </c>
      <c r="G25" s="17"/>
      <c r="H25" s="17">
        <f>H21</f>
        <v>0</v>
      </c>
      <c r="I25" s="17">
        <f>I21</f>
        <v>222257</v>
      </c>
      <c r="J25" s="17">
        <f>J21</f>
        <v>0</v>
      </c>
      <c r="K25" s="17">
        <f>K21-K23</f>
        <v>197063</v>
      </c>
    </row>
    <row r="26" ht="13.5" thickTop="1"/>
    <row r="47" spans="20:23" ht="12.75">
      <c r="T47" s="1"/>
      <c r="U47" s="1"/>
      <c r="V47" s="1"/>
      <c r="W47" s="1"/>
    </row>
    <row r="48" spans="20:23" ht="12.75">
      <c r="T48" s="1"/>
      <c r="U48" s="1"/>
      <c r="V48" s="1"/>
      <c r="W48" s="1"/>
    </row>
    <row r="49" spans="20:23" ht="12.75">
      <c r="T49" s="1"/>
      <c r="U49" s="1"/>
      <c r="V49" s="1"/>
      <c r="W49" s="1"/>
    </row>
  </sheetData>
  <sheetProtection/>
  <mergeCells count="2">
    <mergeCell ref="U22:V22"/>
    <mergeCell ref="D25:E2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6.421875" style="0" customWidth="1"/>
    <col min="2" max="2" width="23.140625" style="0" customWidth="1"/>
    <col min="3" max="3" width="21.7109375" style="0" customWidth="1"/>
    <col min="4" max="4" width="10.57421875" style="0" bestFit="1" customWidth="1"/>
    <col min="5" max="6" width="9.00390625" style="0" customWidth="1"/>
    <col min="7" max="8" width="10.57421875" style="0" customWidth="1"/>
    <col min="9" max="9" width="3.8515625" style="0" customWidth="1"/>
    <col min="10" max="10" width="9.421875" style="0" bestFit="1" customWidth="1"/>
    <col min="11" max="12" width="9.28125" style="0" bestFit="1" customWidth="1"/>
    <col min="13" max="13" width="9.28125" style="0" customWidth="1"/>
    <col min="14" max="15" width="9.28125" style="0" bestFit="1" customWidth="1"/>
    <col min="16" max="16" width="8.7109375" style="0" bestFit="1" customWidth="1"/>
    <col min="17" max="17" width="8.7109375" style="0" customWidth="1"/>
    <col min="18" max="18" width="11.00390625" style="0" bestFit="1" customWidth="1"/>
    <col min="19" max="19" width="9.7109375" style="0" bestFit="1" customWidth="1"/>
    <col min="20" max="20" width="10.8515625" style="0" bestFit="1" customWidth="1"/>
    <col min="21" max="21" width="10.8515625" style="0" customWidth="1"/>
    <col min="22" max="22" width="10.8515625" style="0" bestFit="1" customWidth="1"/>
    <col min="23" max="23" width="9.140625" style="0" bestFit="1" customWidth="1"/>
    <col min="24" max="24" width="6.57421875" style="0" customWidth="1"/>
    <col min="25" max="25" width="8.00390625" style="0" bestFit="1" customWidth="1"/>
    <col min="27" max="27" width="8.7109375" style="0" bestFit="1" customWidth="1"/>
    <col min="28" max="28" width="7.7109375" style="0" bestFit="1" customWidth="1"/>
    <col min="29" max="29" width="7.7109375" style="0" customWidth="1"/>
  </cols>
  <sheetData>
    <row r="1" spans="1:18" ht="12.75">
      <c r="A1" s="2" t="s">
        <v>0</v>
      </c>
      <c r="E1" s="2" t="s">
        <v>97</v>
      </c>
      <c r="F1" s="2"/>
      <c r="R1" s="2" t="str">
        <f>E1</f>
        <v>2015/16 Budget Summary</v>
      </c>
    </row>
    <row r="2" spans="1:6" ht="12.75">
      <c r="A2" s="2"/>
      <c r="E2" s="2"/>
      <c r="F2" s="2"/>
    </row>
    <row r="3" spans="1:15" ht="13.5" thickBot="1">
      <c r="A3" s="2"/>
      <c r="B3" s="2"/>
      <c r="C3" s="2"/>
      <c r="D3" s="3" t="s">
        <v>2</v>
      </c>
      <c r="E3" s="3"/>
      <c r="F3" s="3"/>
      <c r="G3" s="3"/>
      <c r="H3" s="3"/>
      <c r="I3" s="3"/>
      <c r="J3" s="3"/>
      <c r="K3" s="3"/>
      <c r="L3" s="3"/>
      <c r="M3" s="3"/>
      <c r="N3" s="4"/>
      <c r="O3" s="4"/>
    </row>
    <row r="4" spans="3:29" ht="13.5" thickBot="1">
      <c r="C4" s="4" t="s">
        <v>3</v>
      </c>
      <c r="D4" s="4" t="s">
        <v>4</v>
      </c>
      <c r="E4" s="4" t="s">
        <v>5</v>
      </c>
      <c r="F4" s="4" t="s">
        <v>76</v>
      </c>
      <c r="G4" s="4" t="s">
        <v>6</v>
      </c>
      <c r="H4" s="4" t="s">
        <v>66</v>
      </c>
      <c r="I4" s="4"/>
      <c r="J4" s="33" t="s">
        <v>57</v>
      </c>
      <c r="K4" s="33"/>
      <c r="L4" s="4" t="s">
        <v>8</v>
      </c>
      <c r="M4" s="4" t="s">
        <v>73</v>
      </c>
      <c r="N4" s="4" t="s">
        <v>9</v>
      </c>
      <c r="O4" s="4" t="s">
        <v>10</v>
      </c>
      <c r="Q4" s="5" t="s">
        <v>11</v>
      </c>
      <c r="R4" s="6" t="s">
        <v>12</v>
      </c>
      <c r="S4" s="7" t="s">
        <v>13</v>
      </c>
      <c r="T4" s="8" t="s">
        <v>14</v>
      </c>
      <c r="U4" s="5" t="s">
        <v>90</v>
      </c>
      <c r="V4" s="9" t="s">
        <v>15</v>
      </c>
      <c r="W4" s="10" t="s">
        <v>16</v>
      </c>
      <c r="X4" s="10" t="s">
        <v>62</v>
      </c>
      <c r="Y4" s="10" t="s">
        <v>91</v>
      </c>
      <c r="Z4" s="9" t="s">
        <v>18</v>
      </c>
      <c r="AA4" s="9" t="s">
        <v>19</v>
      </c>
      <c r="AB4" s="9" t="s">
        <v>20</v>
      </c>
      <c r="AC4" s="5" t="s">
        <v>9</v>
      </c>
    </row>
    <row r="5" spans="10:29" ht="12.75">
      <c r="J5" s="4" t="s">
        <v>58</v>
      </c>
      <c r="K5" s="4" t="s">
        <v>59</v>
      </c>
      <c r="R5" s="11"/>
      <c r="S5" s="12"/>
      <c r="T5" s="1"/>
      <c r="U5" s="1"/>
      <c r="V5" s="12"/>
      <c r="W5" s="12"/>
      <c r="X5" s="12"/>
      <c r="Y5" s="12"/>
      <c r="Z5" s="1"/>
      <c r="AA5" s="13"/>
      <c r="AB5" s="13"/>
      <c r="AC5" s="13"/>
    </row>
    <row r="6" spans="1:27" ht="12" customHeight="1">
      <c r="A6">
        <v>101</v>
      </c>
      <c r="B6" t="s">
        <v>21</v>
      </c>
      <c r="C6" s="14"/>
      <c r="D6">
        <v>92020</v>
      </c>
      <c r="E6">
        <v>-54000</v>
      </c>
      <c r="I6" s="14" t="s">
        <v>22</v>
      </c>
      <c r="O6">
        <f aca="true" t="shared" si="0" ref="O6:O23">SUM(D6:N6)</f>
        <v>38020</v>
      </c>
      <c r="Q6">
        <f aca="true" t="shared" si="1" ref="Q6:Q23">SUM(R6:S6)</f>
        <v>38020</v>
      </c>
      <c r="R6" s="11">
        <f>O6</f>
        <v>38020</v>
      </c>
      <c r="S6" s="1"/>
      <c r="T6" s="1"/>
      <c r="U6" s="1"/>
      <c r="V6" s="1"/>
      <c r="W6" s="1"/>
      <c r="X6" s="1"/>
      <c r="AA6" s="1"/>
    </row>
    <row r="7" spans="1:28" ht="12" customHeight="1">
      <c r="A7">
        <v>102</v>
      </c>
      <c r="B7" t="s">
        <v>54</v>
      </c>
      <c r="C7" s="14"/>
      <c r="D7">
        <v>46657</v>
      </c>
      <c r="E7">
        <v>-21000</v>
      </c>
      <c r="I7" s="14" t="s">
        <v>22</v>
      </c>
      <c r="J7" s="23">
        <v>156221</v>
      </c>
      <c r="K7">
        <v>20872</v>
      </c>
      <c r="O7">
        <f t="shared" si="0"/>
        <v>202750</v>
      </c>
      <c r="Q7">
        <f t="shared" si="1"/>
        <v>202750</v>
      </c>
      <c r="R7" s="11">
        <f>O7</f>
        <v>202750</v>
      </c>
      <c r="S7" s="1"/>
      <c r="T7" s="1"/>
      <c r="U7" s="1"/>
      <c r="V7" s="1"/>
      <c r="W7" s="1"/>
      <c r="X7" s="1"/>
      <c r="Y7" s="1"/>
      <c r="AB7" s="1"/>
    </row>
    <row r="8" spans="1:28" ht="12" customHeight="1">
      <c r="A8">
        <v>103</v>
      </c>
      <c r="B8" t="s">
        <v>24</v>
      </c>
      <c r="C8" s="14"/>
      <c r="D8">
        <v>90240</v>
      </c>
      <c r="E8">
        <v>-59000</v>
      </c>
      <c r="I8" s="14" t="s">
        <v>22</v>
      </c>
      <c r="O8">
        <f t="shared" si="0"/>
        <v>31240</v>
      </c>
      <c r="Q8">
        <f t="shared" si="1"/>
        <v>31240</v>
      </c>
      <c r="R8" s="11">
        <f>O8</f>
        <v>31240</v>
      </c>
      <c r="S8" s="1"/>
      <c r="T8" s="1"/>
      <c r="U8" s="1"/>
      <c r="V8" s="1"/>
      <c r="W8" s="1"/>
      <c r="X8" s="1"/>
      <c r="Y8" s="1"/>
      <c r="AB8" s="1"/>
    </row>
    <row r="9" spans="2:28" ht="12" customHeight="1">
      <c r="B9" t="s">
        <v>25</v>
      </c>
      <c r="C9" s="14">
        <v>5084</v>
      </c>
      <c r="D9">
        <v>0</v>
      </c>
      <c r="I9" s="14"/>
      <c r="O9">
        <f t="shared" si="0"/>
        <v>0</v>
      </c>
      <c r="Q9">
        <f t="shared" si="1"/>
        <v>0</v>
      </c>
      <c r="R9" s="11"/>
      <c r="S9" s="1">
        <f>O9</f>
        <v>0</v>
      </c>
      <c r="T9" s="1"/>
      <c r="U9" s="1"/>
      <c r="V9" s="1"/>
      <c r="W9" s="1"/>
      <c r="X9" s="1"/>
      <c r="Y9" s="1"/>
      <c r="AB9" s="1"/>
    </row>
    <row r="10" spans="1:28" ht="12" customHeight="1">
      <c r="A10">
        <v>201</v>
      </c>
      <c r="B10" t="s">
        <v>26</v>
      </c>
      <c r="C10" s="22" t="s">
        <v>77</v>
      </c>
      <c r="D10">
        <v>13500</v>
      </c>
      <c r="J10">
        <v>18483</v>
      </c>
      <c r="K10">
        <v>3577</v>
      </c>
      <c r="O10">
        <f t="shared" si="0"/>
        <v>35560</v>
      </c>
      <c r="Q10">
        <f t="shared" si="1"/>
        <v>0</v>
      </c>
      <c r="R10" s="11"/>
      <c r="S10" s="1"/>
      <c r="T10" s="1">
        <f>O10</f>
        <v>35560</v>
      </c>
      <c r="U10" s="1"/>
      <c r="V10" s="1"/>
      <c r="W10" s="1"/>
      <c r="X10" s="1"/>
      <c r="Y10" s="1"/>
      <c r="AB10" s="1"/>
    </row>
    <row r="11" spans="1:28" ht="12" customHeight="1">
      <c r="A11">
        <v>202</v>
      </c>
      <c r="B11" t="s">
        <v>28</v>
      </c>
      <c r="C11" s="22" t="s">
        <v>70</v>
      </c>
      <c r="D11">
        <v>500</v>
      </c>
      <c r="O11">
        <f t="shared" si="0"/>
        <v>500</v>
      </c>
      <c r="Q11">
        <f t="shared" si="1"/>
        <v>0</v>
      </c>
      <c r="R11" s="11"/>
      <c r="S11" s="1"/>
      <c r="T11" s="1">
        <f>$O11</f>
        <v>500</v>
      </c>
      <c r="U11" s="1"/>
      <c r="V11" s="1"/>
      <c r="W11" s="1"/>
      <c r="X11" s="1"/>
      <c r="Y11" s="1"/>
      <c r="AB11" s="1"/>
    </row>
    <row r="12" spans="1:28" ht="12" customHeight="1">
      <c r="A12">
        <v>206</v>
      </c>
      <c r="B12" t="s">
        <v>30</v>
      </c>
      <c r="C12" s="22" t="s">
        <v>86</v>
      </c>
      <c r="D12">
        <f>25000+5750+6000+9877+27927+8100+80053</f>
        <v>162707</v>
      </c>
      <c r="E12">
        <v>-24692</v>
      </c>
      <c r="O12">
        <f t="shared" si="0"/>
        <v>138015</v>
      </c>
      <c r="Q12">
        <f t="shared" si="1"/>
        <v>0</v>
      </c>
      <c r="R12" s="11"/>
      <c r="S12" s="1"/>
      <c r="T12" s="1"/>
      <c r="U12" s="1"/>
      <c r="V12" s="1">
        <f>$O12-X12</f>
        <v>138015</v>
      </c>
      <c r="W12" s="1"/>
      <c r="X12" s="1"/>
      <c r="Y12" s="1"/>
      <c r="AB12" s="1"/>
    </row>
    <row r="13" spans="1:25" ht="12" customHeight="1">
      <c r="A13">
        <v>401</v>
      </c>
      <c r="B13" t="s">
        <v>16</v>
      </c>
      <c r="C13" s="22" t="s">
        <v>83</v>
      </c>
      <c r="D13">
        <f>380+7495+15680+1200+6350+2325</f>
        <v>33430</v>
      </c>
      <c r="J13">
        <v>22463</v>
      </c>
      <c r="K13">
        <v>1532</v>
      </c>
      <c r="O13">
        <f t="shared" si="0"/>
        <v>57425</v>
      </c>
      <c r="Q13">
        <f t="shared" si="1"/>
        <v>0</v>
      </c>
      <c r="R13" s="11"/>
      <c r="S13" s="1"/>
      <c r="T13" s="1"/>
      <c r="U13" s="1"/>
      <c r="V13" s="1"/>
      <c r="W13" s="1">
        <f>$O13</f>
        <v>57425</v>
      </c>
      <c r="X13" s="1"/>
      <c r="Y13" s="1"/>
    </row>
    <row r="14" spans="2:25" ht="12" customHeight="1">
      <c r="B14" t="s">
        <v>33</v>
      </c>
      <c r="C14" s="14">
        <v>5087</v>
      </c>
      <c r="D14">
        <v>22100</v>
      </c>
      <c r="O14">
        <f t="shared" si="0"/>
        <v>22100</v>
      </c>
      <c r="Q14">
        <f t="shared" si="1"/>
        <v>0</v>
      </c>
      <c r="R14" s="11"/>
      <c r="S14" s="1"/>
      <c r="T14" s="1"/>
      <c r="U14" s="1">
        <f>$O14</f>
        <v>22100</v>
      </c>
      <c r="V14" s="1"/>
      <c r="W14" s="1"/>
      <c r="X14" s="1"/>
      <c r="Y14" s="1"/>
    </row>
    <row r="15" spans="2:25" ht="12" customHeight="1">
      <c r="B15" s="23" t="s">
        <v>71</v>
      </c>
      <c r="C15" s="14">
        <v>9041</v>
      </c>
      <c r="O15">
        <f t="shared" si="0"/>
        <v>0</v>
      </c>
      <c r="Q15">
        <f t="shared" si="1"/>
        <v>0</v>
      </c>
      <c r="R15" s="11"/>
      <c r="S15" s="1"/>
      <c r="T15" s="1"/>
      <c r="U15" s="1"/>
      <c r="V15" s="1"/>
      <c r="W15" s="1"/>
      <c r="X15" s="1">
        <f>$O15</f>
        <v>0</v>
      </c>
      <c r="Y15" s="1"/>
    </row>
    <row r="16" spans="2:26" ht="12" customHeight="1">
      <c r="B16" t="s">
        <v>34</v>
      </c>
      <c r="C16" s="14"/>
      <c r="D16">
        <f>988259-SUM(D6:D14)-SUM(D18:D20)</f>
        <v>494205</v>
      </c>
      <c r="E16">
        <v>-350</v>
      </c>
      <c r="F16">
        <f>-4267-21844</f>
        <v>-26111</v>
      </c>
      <c r="J16" s="21">
        <f>-153767-86542-19956-17459</f>
        <v>-277724</v>
      </c>
      <c r="K16">
        <v>-48022</v>
      </c>
      <c r="O16">
        <f t="shared" si="0"/>
        <v>141998</v>
      </c>
      <c r="Q16">
        <f t="shared" si="1"/>
        <v>0</v>
      </c>
      <c r="R16" s="11"/>
      <c r="S16" s="1"/>
      <c r="T16" s="1"/>
      <c r="U16" s="1"/>
      <c r="V16" s="1"/>
      <c r="W16" s="1"/>
      <c r="X16" s="1"/>
      <c r="Y16" s="1"/>
      <c r="Z16" s="1">
        <f>$O16</f>
        <v>141998</v>
      </c>
    </row>
    <row r="17" spans="1:26" ht="12" customHeight="1">
      <c r="A17">
        <v>901</v>
      </c>
      <c r="B17" t="s">
        <v>35</v>
      </c>
      <c r="C17" s="14"/>
      <c r="O17">
        <f t="shared" si="0"/>
        <v>0</v>
      </c>
      <c r="Q17">
        <f t="shared" si="1"/>
        <v>0</v>
      </c>
      <c r="R17" s="11"/>
      <c r="S17" s="1"/>
      <c r="T17" s="1"/>
      <c r="U17" s="1"/>
      <c r="V17" s="1"/>
      <c r="W17" s="1"/>
      <c r="X17" s="1"/>
      <c r="Y17" s="1"/>
      <c r="Z17" s="1">
        <f>$O17</f>
        <v>0</v>
      </c>
    </row>
    <row r="18" spans="1:27" ht="12" customHeight="1">
      <c r="A18">
        <v>902</v>
      </c>
      <c r="B18" t="s">
        <v>36</v>
      </c>
      <c r="C18" s="14">
        <v>5086</v>
      </c>
      <c r="D18">
        <v>14000</v>
      </c>
      <c r="J18">
        <v>57358</v>
      </c>
      <c r="K18">
        <v>15414</v>
      </c>
      <c r="O18">
        <f t="shared" si="0"/>
        <v>86772</v>
      </c>
      <c r="Q18">
        <f t="shared" si="1"/>
        <v>0</v>
      </c>
      <c r="R18" s="11"/>
      <c r="S18" s="1"/>
      <c r="T18" s="1"/>
      <c r="U18" s="1"/>
      <c r="V18" s="1"/>
      <c r="W18" s="1"/>
      <c r="X18" s="1"/>
      <c r="Y18" s="1"/>
      <c r="AA18" s="1">
        <f>$O18</f>
        <v>86772</v>
      </c>
    </row>
    <row r="19" spans="1:28" ht="12" customHeight="1">
      <c r="A19">
        <v>903</v>
      </c>
      <c r="B19" t="s">
        <v>20</v>
      </c>
      <c r="C19" s="14">
        <v>5073</v>
      </c>
      <c r="D19">
        <v>500</v>
      </c>
      <c r="J19">
        <v>23199</v>
      </c>
      <c r="K19">
        <v>6627</v>
      </c>
      <c r="O19">
        <f t="shared" si="0"/>
        <v>30326</v>
      </c>
      <c r="Q19">
        <f t="shared" si="1"/>
        <v>0</v>
      </c>
      <c r="R19" s="11"/>
      <c r="S19" s="1"/>
      <c r="T19" s="1"/>
      <c r="U19" s="1"/>
      <c r="V19" s="1"/>
      <c r="W19" s="1"/>
      <c r="X19" s="1"/>
      <c r="Y19" s="1"/>
      <c r="AB19" s="1">
        <f>$O19</f>
        <v>30326</v>
      </c>
    </row>
    <row r="20" spans="2:25" ht="12" customHeight="1">
      <c r="B20" t="s">
        <v>37</v>
      </c>
      <c r="C20" s="14"/>
      <c r="D20">
        <v>18400</v>
      </c>
      <c r="G20">
        <f>-D20</f>
        <v>-18400</v>
      </c>
      <c r="O20">
        <f t="shared" si="0"/>
        <v>0</v>
      </c>
      <c r="Q20">
        <f t="shared" si="1"/>
        <v>0</v>
      </c>
      <c r="R20" s="11"/>
      <c r="S20" s="1"/>
      <c r="T20" s="1"/>
      <c r="U20" s="1"/>
      <c r="V20" s="1"/>
      <c r="W20" s="1"/>
      <c r="X20" s="1"/>
      <c r="Y20" s="1"/>
    </row>
    <row r="21" spans="2:25" ht="12" customHeight="1">
      <c r="B21" s="23" t="s">
        <v>87</v>
      </c>
      <c r="C21" s="14"/>
      <c r="E21">
        <v>-40294</v>
      </c>
      <c r="O21">
        <f>SUM(D21:N21)</f>
        <v>-40294</v>
      </c>
      <c r="Q21">
        <f>SUM(R21:S21)</f>
        <v>0</v>
      </c>
      <c r="R21" s="11"/>
      <c r="S21" s="1"/>
      <c r="T21" s="1"/>
      <c r="U21" s="1"/>
      <c r="V21" s="1"/>
      <c r="W21" s="1"/>
      <c r="X21" s="1"/>
      <c r="Y21" s="1">
        <f>$O21</f>
        <v>-40294</v>
      </c>
    </row>
    <row r="22" spans="2:25" ht="12" customHeight="1">
      <c r="B22" t="s">
        <v>66</v>
      </c>
      <c r="C22" s="14"/>
      <c r="D22">
        <v>-5407</v>
      </c>
      <c r="H22">
        <v>5407</v>
      </c>
      <c r="O22">
        <f t="shared" si="0"/>
        <v>0</v>
      </c>
      <c r="Q22">
        <f t="shared" si="1"/>
        <v>0</v>
      </c>
      <c r="R22" s="11"/>
      <c r="S22" s="1"/>
      <c r="T22" s="1"/>
      <c r="U22" s="1"/>
      <c r="V22" s="1"/>
      <c r="W22" s="1"/>
      <c r="X22" s="1"/>
      <c r="Y22" s="1"/>
    </row>
    <row r="23" spans="2:29" ht="12.75">
      <c r="B23" t="s">
        <v>9</v>
      </c>
      <c r="C23" s="14"/>
      <c r="E23">
        <v>-4550</v>
      </c>
      <c r="O23">
        <f t="shared" si="0"/>
        <v>-4550</v>
      </c>
      <c r="Q23">
        <f t="shared" si="1"/>
        <v>0</v>
      </c>
      <c r="R23" s="11"/>
      <c r="S23" s="1"/>
      <c r="T23" s="15"/>
      <c r="U23" s="1"/>
      <c r="V23" s="1"/>
      <c r="W23" s="1"/>
      <c r="X23" s="1"/>
      <c r="Y23" s="1"/>
      <c r="AC23" s="1">
        <f>$O23</f>
        <v>-4550</v>
      </c>
    </row>
    <row r="24" spans="4:29" ht="13.5" thickBot="1">
      <c r="D24" s="16">
        <f>SUM(D6:D23)</f>
        <v>982852</v>
      </c>
      <c r="E24" s="16">
        <f>SUM(E6:E23)</f>
        <v>-203886</v>
      </c>
      <c r="F24" s="16">
        <f>SUM(F6:F23)</f>
        <v>-26111</v>
      </c>
      <c r="G24" s="16">
        <f>SUM(G6:G23)</f>
        <v>-18400</v>
      </c>
      <c r="H24" s="16">
        <f>SUM(H6:H23)</f>
        <v>5407</v>
      </c>
      <c r="I24" s="16"/>
      <c r="J24" s="16">
        <f aca="true" t="shared" si="2" ref="J24:O24">SUM(J6:J23)</f>
        <v>0</v>
      </c>
      <c r="K24" s="16">
        <f t="shared" si="2"/>
        <v>0</v>
      </c>
      <c r="L24" s="16">
        <f t="shared" si="2"/>
        <v>0</v>
      </c>
      <c r="M24" s="16">
        <f t="shared" si="2"/>
        <v>0</v>
      </c>
      <c r="N24" s="16">
        <f t="shared" si="2"/>
        <v>0</v>
      </c>
      <c r="O24" s="16">
        <f t="shared" si="2"/>
        <v>739862</v>
      </c>
      <c r="Q24" s="16">
        <f aca="true" t="shared" si="3" ref="Q24:AC24">SUM(Q5:Q23)</f>
        <v>272010</v>
      </c>
      <c r="R24" s="16">
        <f t="shared" si="3"/>
        <v>272010</v>
      </c>
      <c r="S24" s="16">
        <f t="shared" si="3"/>
        <v>0</v>
      </c>
      <c r="T24" s="17">
        <f t="shared" si="3"/>
        <v>36060</v>
      </c>
      <c r="U24" s="16">
        <f>SUM(U5:U23)</f>
        <v>22100</v>
      </c>
      <c r="V24" s="16">
        <f t="shared" si="3"/>
        <v>138015</v>
      </c>
      <c r="W24" s="16">
        <f t="shared" si="3"/>
        <v>57425</v>
      </c>
      <c r="X24" s="16">
        <f t="shared" si="3"/>
        <v>0</v>
      </c>
      <c r="Y24" s="16">
        <f t="shared" si="3"/>
        <v>-40294</v>
      </c>
      <c r="Z24" s="16">
        <f t="shared" si="3"/>
        <v>141998</v>
      </c>
      <c r="AA24" s="16">
        <f t="shared" si="3"/>
        <v>86772</v>
      </c>
      <c r="AB24" s="16">
        <f t="shared" si="3"/>
        <v>30326</v>
      </c>
      <c r="AC24" s="16">
        <f t="shared" si="3"/>
        <v>-4550</v>
      </c>
    </row>
    <row r="25" spans="17:29" ht="14.25" thickBot="1" thickTop="1">
      <c r="Q25" s="18">
        <f>Q24</f>
        <v>272010</v>
      </c>
      <c r="R25" s="1"/>
      <c r="S25" s="1"/>
      <c r="T25" s="18">
        <f aca="true" t="shared" si="4" ref="T25:Z25">T24</f>
        <v>36060</v>
      </c>
      <c r="U25" s="34">
        <f>SUM(U24:V24)</f>
        <v>160115</v>
      </c>
      <c r="V25" s="34"/>
      <c r="W25" s="18">
        <f t="shared" si="4"/>
        <v>57425</v>
      </c>
      <c r="X25" s="18">
        <f t="shared" si="4"/>
        <v>0</v>
      </c>
      <c r="Y25" s="18">
        <f t="shared" si="4"/>
        <v>-40294</v>
      </c>
      <c r="Z25" s="18">
        <f t="shared" si="4"/>
        <v>141998</v>
      </c>
      <c r="AA25" s="34">
        <f>AA24+AB24</f>
        <v>117098</v>
      </c>
      <c r="AB25" s="34"/>
      <c r="AC25" s="18">
        <f>AC24</f>
        <v>-4550</v>
      </c>
    </row>
    <row r="26" spans="1:16" ht="14.25" thickBot="1" thickTop="1">
      <c r="A26" t="s">
        <v>39</v>
      </c>
      <c r="D26" s="17">
        <v>773389</v>
      </c>
      <c r="G26" s="1"/>
      <c r="H26" s="1"/>
      <c r="I26" s="1"/>
      <c r="O26" s="17">
        <f>D26</f>
        <v>773389</v>
      </c>
      <c r="P26" s="17">
        <f>SUM(Q25:AC25)</f>
        <v>739862</v>
      </c>
    </row>
    <row r="27" spans="1:14" ht="13.5" thickTop="1">
      <c r="A27" t="s">
        <v>40</v>
      </c>
      <c r="N27" s="1"/>
    </row>
    <row r="28" spans="1:15" ht="13.5" thickBot="1">
      <c r="A28" t="s">
        <v>41</v>
      </c>
      <c r="D28" s="35">
        <f>D24-D26+E24</f>
        <v>5577</v>
      </c>
      <c r="E28" s="35"/>
      <c r="F28" s="17">
        <f>F24</f>
        <v>-26111</v>
      </c>
      <c r="G28" s="17">
        <f>G24</f>
        <v>-18400</v>
      </c>
      <c r="H28" s="17">
        <f>H24</f>
        <v>5407</v>
      </c>
      <c r="I28" s="17"/>
      <c r="J28" s="17">
        <f>J24</f>
        <v>0</v>
      </c>
      <c r="K28" s="17">
        <f>K24</f>
        <v>0</v>
      </c>
      <c r="L28" s="17">
        <f>L24</f>
        <v>0</v>
      </c>
      <c r="M28" s="17">
        <f>M24</f>
        <v>0</v>
      </c>
      <c r="N28" s="17">
        <f>N24</f>
        <v>0</v>
      </c>
      <c r="O28" s="17">
        <f>O24-O26</f>
        <v>-33527</v>
      </c>
    </row>
    <row r="29" spans="12:13" ht="14.25" thickBot="1" thickTop="1">
      <c r="L29" s="36">
        <f>SUM(L28:M28)</f>
        <v>0</v>
      </c>
      <c r="M29" s="36"/>
    </row>
    <row r="30" spans="4:5" ht="14.25" thickBot="1" thickTop="1">
      <c r="D30" s="27">
        <f>D24-D28</f>
        <v>977275</v>
      </c>
      <c r="E30" s="27">
        <f>-E24+D26</f>
        <v>977275</v>
      </c>
    </row>
    <row r="31" spans="1:5" ht="12.75" hidden="1">
      <c r="A31" t="s">
        <v>44</v>
      </c>
      <c r="B31" t="s">
        <v>45</v>
      </c>
      <c r="C31" s="1"/>
      <c r="D31" t="s">
        <v>53</v>
      </c>
      <c r="E31" t="s">
        <v>6</v>
      </c>
    </row>
    <row r="32" spans="1:4" ht="12.75" hidden="1">
      <c r="A32">
        <v>9015</v>
      </c>
      <c r="B32" t="s">
        <v>46</v>
      </c>
      <c r="C32" s="1"/>
      <c r="D32">
        <v>15000</v>
      </c>
    </row>
    <row r="33" spans="2:5" ht="12.75" hidden="1">
      <c r="B33" t="s">
        <v>47</v>
      </c>
      <c r="C33" s="1"/>
      <c r="D33">
        <v>-5000</v>
      </c>
      <c r="E33">
        <v>5000</v>
      </c>
    </row>
    <row r="34" ht="12.75" hidden="1">
      <c r="B34" t="s">
        <v>48</v>
      </c>
    </row>
    <row r="35" spans="1:4" ht="12.75" hidden="1">
      <c r="A35">
        <v>9020</v>
      </c>
      <c r="B35" t="s">
        <v>55</v>
      </c>
      <c r="D35">
        <v>10000</v>
      </c>
    </row>
    <row r="36" spans="1:4" ht="12.75" hidden="1">
      <c r="A36">
        <v>9022</v>
      </c>
      <c r="B36" t="s">
        <v>49</v>
      </c>
      <c r="D36">
        <v>4000</v>
      </c>
    </row>
    <row r="37" spans="1:5" ht="12.75" hidden="1">
      <c r="A37">
        <v>9024</v>
      </c>
      <c r="B37" t="s">
        <v>52</v>
      </c>
      <c r="E37">
        <v>500</v>
      </c>
    </row>
    <row r="38" spans="1:4" ht="12.75" hidden="1">
      <c r="A38">
        <v>9025</v>
      </c>
      <c r="B38" t="s">
        <v>50</v>
      </c>
      <c r="D38">
        <v>500</v>
      </c>
    </row>
    <row r="39" spans="1:4" ht="12.75" hidden="1">
      <c r="A39">
        <v>9026</v>
      </c>
      <c r="B39" t="s">
        <v>54</v>
      </c>
      <c r="D39">
        <v>500</v>
      </c>
    </row>
    <row r="40" spans="1:4" ht="12.75" hidden="1">
      <c r="A40">
        <v>9027</v>
      </c>
      <c r="B40" t="s">
        <v>24</v>
      </c>
      <c r="D40">
        <v>3500</v>
      </c>
    </row>
    <row r="41" spans="1:2" ht="12.75" hidden="1">
      <c r="A41">
        <v>9028</v>
      </c>
      <c r="B41" t="s">
        <v>52</v>
      </c>
    </row>
    <row r="42" spans="1:4" ht="12.75" hidden="1">
      <c r="A42">
        <v>9029</v>
      </c>
      <c r="B42" t="s">
        <v>51</v>
      </c>
      <c r="D42">
        <v>1000</v>
      </c>
    </row>
    <row r="43" spans="1:4" ht="12.75" hidden="1">
      <c r="A43">
        <v>9030</v>
      </c>
      <c r="B43" t="s">
        <v>50</v>
      </c>
      <c r="D43">
        <v>5000</v>
      </c>
    </row>
    <row r="44" spans="1:4" ht="12.75" hidden="1">
      <c r="A44">
        <v>9031</v>
      </c>
      <c r="B44" t="s">
        <v>54</v>
      </c>
      <c r="D44">
        <v>500</v>
      </c>
    </row>
    <row r="45" spans="1:5" ht="12.75" hidden="1">
      <c r="A45">
        <v>9032</v>
      </c>
      <c r="B45" t="s">
        <v>52</v>
      </c>
      <c r="E45">
        <v>1000</v>
      </c>
    </row>
    <row r="46" spans="3:6" ht="12.75" hidden="1">
      <c r="C46" s="19">
        <f>SUM(D46:E46)</f>
        <v>41500</v>
      </c>
      <c r="D46" s="25">
        <f>SUM(D32:D45)</f>
        <v>35000</v>
      </c>
      <c r="E46" s="25">
        <f>SUM(E32:E45)</f>
        <v>6500</v>
      </c>
      <c r="F46" s="1"/>
    </row>
    <row r="47" spans="2:5" ht="12.75">
      <c r="B47" s="23" t="s">
        <v>98</v>
      </c>
      <c r="D47" s="26">
        <v>696565</v>
      </c>
      <c r="E47" s="26"/>
    </row>
    <row r="48" spans="2:4" ht="12.75">
      <c r="B48" s="23" t="s">
        <v>99</v>
      </c>
      <c r="D48" s="28">
        <v>691158</v>
      </c>
    </row>
    <row r="49" spans="2:4" ht="13.5" thickBot="1">
      <c r="B49" s="23" t="s">
        <v>80</v>
      </c>
      <c r="D49" s="16">
        <f>D47-D48</f>
        <v>5407</v>
      </c>
    </row>
    <row r="50" ht="13.5" thickTop="1"/>
    <row r="51" spans="2:4" ht="12.75">
      <c r="B51" s="23" t="s">
        <v>95</v>
      </c>
      <c r="D51">
        <v>40899</v>
      </c>
    </row>
    <row r="52" spans="2:29" ht="12.75">
      <c r="B52" s="23" t="s">
        <v>100</v>
      </c>
      <c r="D52">
        <v>-46476</v>
      </c>
      <c r="Z52" s="1"/>
      <c r="AA52" s="1"/>
      <c r="AB52" s="1"/>
      <c r="AC52" s="1"/>
    </row>
    <row r="53" spans="2:29" ht="12.75">
      <c r="B53" s="23" t="s">
        <v>96</v>
      </c>
      <c r="D53" s="19">
        <f>SUM(D51:D52)</f>
        <v>-5577</v>
      </c>
      <c r="Z53" s="1"/>
      <c r="AA53" s="1"/>
      <c r="AB53" s="1"/>
      <c r="AC53" s="1"/>
    </row>
    <row r="54" spans="26:29" ht="12.75">
      <c r="Z54" s="1"/>
      <c r="AA54" s="1"/>
      <c r="AB54" s="1"/>
      <c r="AC54" s="1"/>
    </row>
  </sheetData>
  <sheetProtection/>
  <mergeCells count="5">
    <mergeCell ref="J4:K4"/>
    <mergeCell ref="U25:V25"/>
    <mergeCell ref="AA25:AB25"/>
    <mergeCell ref="D28:E28"/>
    <mergeCell ref="L29:M29"/>
  </mergeCells>
  <printOptions/>
  <pageMargins left="0.1968503937007874" right="0.2362204724409449" top="0.2755905511811024" bottom="0.6299212598425197" header="0.1968503937007874" footer="0.2362204724409449"/>
  <pageSetup fitToWidth="2" horizontalDpi="300" verticalDpi="300" orientation="landscape" paperSize="9" scale="77" r:id="rId1"/>
  <headerFooter alignWithMargins="0">
    <oddFooter>&amp;LPrepared by:
Accounting Solutions
&amp;"Arial,Italic"&amp;8from&amp;"Arial,Regular"&amp;10 DCK Beavers Ltd&amp;CFor:
Bradley Stoke Town Council&amp;R&amp;T
&amp;D</oddFooter>
  </headerFooter>
  <colBreaks count="1" manualBreakCount="1">
    <brk id="15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6.421875" style="0" customWidth="1"/>
    <col min="2" max="2" width="23.140625" style="0" customWidth="1"/>
    <col min="3" max="3" width="21.7109375" style="0" customWidth="1"/>
    <col min="4" max="4" width="10.57421875" style="0" bestFit="1" customWidth="1"/>
    <col min="5" max="6" width="9.00390625" style="0" customWidth="1"/>
    <col min="7" max="8" width="10.57421875" style="0" customWidth="1"/>
    <col min="9" max="9" width="3.8515625" style="0" customWidth="1"/>
    <col min="10" max="10" width="9.421875" style="0" bestFit="1" customWidth="1"/>
    <col min="11" max="12" width="9.28125" style="0" bestFit="1" customWidth="1"/>
    <col min="13" max="13" width="9.28125" style="0" customWidth="1"/>
    <col min="14" max="15" width="9.28125" style="0" bestFit="1" customWidth="1"/>
    <col min="16" max="16" width="8.7109375" style="0" bestFit="1" customWidth="1"/>
    <col min="17" max="17" width="8.7109375" style="0" customWidth="1"/>
    <col min="18" max="18" width="11.00390625" style="0" bestFit="1" customWidth="1"/>
    <col min="19" max="19" width="9.7109375" style="0" bestFit="1" customWidth="1"/>
    <col min="20" max="20" width="10.8515625" style="0" bestFit="1" customWidth="1"/>
    <col min="21" max="21" width="10.8515625" style="0" customWidth="1"/>
    <col min="22" max="22" width="10.8515625" style="0" bestFit="1" customWidth="1"/>
    <col min="23" max="23" width="9.140625" style="0" bestFit="1" customWidth="1"/>
    <col min="24" max="24" width="6.57421875" style="0" customWidth="1"/>
    <col min="25" max="25" width="8.00390625" style="0" bestFit="1" customWidth="1"/>
    <col min="27" max="27" width="8.7109375" style="0" bestFit="1" customWidth="1"/>
    <col min="28" max="28" width="7.7109375" style="0" bestFit="1" customWidth="1"/>
    <col min="29" max="29" width="7.7109375" style="0" customWidth="1"/>
  </cols>
  <sheetData>
    <row r="1" spans="1:18" ht="12.75">
      <c r="A1" s="2" t="s">
        <v>0</v>
      </c>
      <c r="E1" s="2" t="s">
        <v>92</v>
      </c>
      <c r="F1" s="2"/>
      <c r="R1" s="2" t="str">
        <f>E1</f>
        <v>2014/15 Budget Summary</v>
      </c>
    </row>
    <row r="2" spans="1:6" ht="12.75">
      <c r="A2" s="2"/>
      <c r="E2" s="2"/>
      <c r="F2" s="2"/>
    </row>
    <row r="3" spans="1:15" ht="13.5" thickBot="1">
      <c r="A3" s="2"/>
      <c r="B3" s="2"/>
      <c r="C3" s="2"/>
      <c r="D3" s="3" t="s">
        <v>2</v>
      </c>
      <c r="E3" s="3"/>
      <c r="F3" s="3"/>
      <c r="G3" s="3"/>
      <c r="H3" s="3"/>
      <c r="I3" s="3"/>
      <c r="J3" s="3"/>
      <c r="K3" s="3"/>
      <c r="L3" s="3"/>
      <c r="M3" s="3"/>
      <c r="N3" s="4"/>
      <c r="O3" s="4"/>
    </row>
    <row r="4" spans="3:29" ht="13.5" thickBot="1">
      <c r="C4" s="4" t="s">
        <v>3</v>
      </c>
      <c r="D4" s="4" t="s">
        <v>4</v>
      </c>
      <c r="E4" s="4" t="s">
        <v>5</v>
      </c>
      <c r="F4" s="4" t="s">
        <v>76</v>
      </c>
      <c r="G4" s="4" t="s">
        <v>6</v>
      </c>
      <c r="H4" s="4" t="s">
        <v>66</v>
      </c>
      <c r="I4" s="4"/>
      <c r="J4" s="33" t="s">
        <v>57</v>
      </c>
      <c r="K4" s="33"/>
      <c r="L4" s="4" t="s">
        <v>8</v>
      </c>
      <c r="M4" s="4" t="s">
        <v>73</v>
      </c>
      <c r="N4" s="4" t="s">
        <v>9</v>
      </c>
      <c r="O4" s="4" t="s">
        <v>10</v>
      </c>
      <c r="Q4" s="5" t="s">
        <v>11</v>
      </c>
      <c r="R4" s="6" t="s">
        <v>12</v>
      </c>
      <c r="S4" s="7" t="s">
        <v>13</v>
      </c>
      <c r="T4" s="8" t="s">
        <v>14</v>
      </c>
      <c r="U4" s="5" t="s">
        <v>90</v>
      </c>
      <c r="V4" s="9" t="s">
        <v>15</v>
      </c>
      <c r="W4" s="10" t="s">
        <v>16</v>
      </c>
      <c r="X4" s="10" t="s">
        <v>62</v>
      </c>
      <c r="Y4" s="10" t="s">
        <v>91</v>
      </c>
      <c r="Z4" s="9" t="s">
        <v>18</v>
      </c>
      <c r="AA4" s="9" t="s">
        <v>19</v>
      </c>
      <c r="AB4" s="9" t="s">
        <v>20</v>
      </c>
      <c r="AC4" s="5" t="s">
        <v>9</v>
      </c>
    </row>
    <row r="5" spans="10:29" ht="12.75">
      <c r="J5" s="4" t="s">
        <v>58</v>
      </c>
      <c r="K5" s="4" t="s">
        <v>59</v>
      </c>
      <c r="R5" s="11"/>
      <c r="S5" s="12"/>
      <c r="T5" s="1"/>
      <c r="U5" s="1"/>
      <c r="V5" s="12"/>
      <c r="W5" s="12"/>
      <c r="X5" s="12"/>
      <c r="Y5" s="12"/>
      <c r="Z5" s="1"/>
      <c r="AA5" s="13"/>
      <c r="AB5" s="13"/>
      <c r="AC5" s="13"/>
    </row>
    <row r="6" spans="1:27" ht="12" customHeight="1">
      <c r="A6">
        <v>101</v>
      </c>
      <c r="B6" t="s">
        <v>21</v>
      </c>
      <c r="C6" s="14"/>
      <c r="D6">
        <v>94359</v>
      </c>
      <c r="E6">
        <v>-52000</v>
      </c>
      <c r="I6" s="14" t="s">
        <v>22</v>
      </c>
      <c r="O6">
        <f aca="true" t="shared" si="0" ref="O6:O23">SUM(D6:N6)</f>
        <v>42359</v>
      </c>
      <c r="Q6">
        <f aca="true" t="shared" si="1" ref="Q6:Q23">SUM(R6:S6)</f>
        <v>42359</v>
      </c>
      <c r="R6" s="11">
        <f>O6</f>
        <v>42359</v>
      </c>
      <c r="S6" s="1"/>
      <c r="T6" s="1"/>
      <c r="U6" s="1"/>
      <c r="V6" s="1"/>
      <c r="W6" s="1"/>
      <c r="X6" s="1"/>
      <c r="AA6" s="1"/>
    </row>
    <row r="7" spans="1:28" ht="12" customHeight="1">
      <c r="A7">
        <v>102</v>
      </c>
      <c r="B7" t="s">
        <v>54</v>
      </c>
      <c r="C7" s="14"/>
      <c r="D7">
        <v>46709</v>
      </c>
      <c r="E7">
        <v>-23000</v>
      </c>
      <c r="I7" s="14" t="s">
        <v>22</v>
      </c>
      <c r="J7" s="23">
        <v>152495</v>
      </c>
      <c r="K7">
        <v>23879</v>
      </c>
      <c r="O7">
        <f t="shared" si="0"/>
        <v>200083</v>
      </c>
      <c r="Q7">
        <f t="shared" si="1"/>
        <v>200083</v>
      </c>
      <c r="R7" s="11">
        <f>O7</f>
        <v>200083</v>
      </c>
      <c r="S7" s="1"/>
      <c r="T7" s="1"/>
      <c r="U7" s="1"/>
      <c r="V7" s="1"/>
      <c r="W7" s="1"/>
      <c r="X7" s="1"/>
      <c r="Y7" s="1"/>
      <c r="AB7" s="1"/>
    </row>
    <row r="8" spans="1:28" ht="12" customHeight="1">
      <c r="A8">
        <v>103</v>
      </c>
      <c r="B8" t="s">
        <v>24</v>
      </c>
      <c r="C8" s="14"/>
      <c r="D8">
        <v>97039</v>
      </c>
      <c r="E8">
        <v>-59000</v>
      </c>
      <c r="I8" s="14" t="s">
        <v>22</v>
      </c>
      <c r="O8">
        <f t="shared" si="0"/>
        <v>38039</v>
      </c>
      <c r="Q8">
        <f t="shared" si="1"/>
        <v>38039</v>
      </c>
      <c r="R8" s="11">
        <f>O8</f>
        <v>38039</v>
      </c>
      <c r="S8" s="1"/>
      <c r="T8" s="1"/>
      <c r="U8" s="1"/>
      <c r="V8" s="1"/>
      <c r="W8" s="1"/>
      <c r="X8" s="1"/>
      <c r="Y8" s="1"/>
      <c r="AB8" s="1"/>
    </row>
    <row r="9" spans="2:28" ht="12" customHeight="1">
      <c r="B9" t="s">
        <v>25</v>
      </c>
      <c r="C9" s="14">
        <v>5084</v>
      </c>
      <c r="D9">
        <v>0</v>
      </c>
      <c r="I9" s="14"/>
      <c r="O9">
        <f t="shared" si="0"/>
        <v>0</v>
      </c>
      <c r="Q9">
        <f t="shared" si="1"/>
        <v>0</v>
      </c>
      <c r="R9" s="11"/>
      <c r="S9" s="1">
        <f>O9</f>
        <v>0</v>
      </c>
      <c r="T9" s="1"/>
      <c r="U9" s="1"/>
      <c r="V9" s="1"/>
      <c r="W9" s="1"/>
      <c r="X9" s="1"/>
      <c r="Y9" s="1"/>
      <c r="AB9" s="1"/>
    </row>
    <row r="10" spans="1:28" ht="12" customHeight="1">
      <c r="A10">
        <v>201</v>
      </c>
      <c r="B10" t="s">
        <v>26</v>
      </c>
      <c r="C10" s="22" t="s">
        <v>77</v>
      </c>
      <c r="D10">
        <f>4500+4000</f>
        <v>8500</v>
      </c>
      <c r="J10">
        <v>17942</v>
      </c>
      <c r="K10">
        <v>6277</v>
      </c>
      <c r="O10">
        <f t="shared" si="0"/>
        <v>32719</v>
      </c>
      <c r="Q10">
        <f t="shared" si="1"/>
        <v>0</v>
      </c>
      <c r="R10" s="11"/>
      <c r="S10" s="1"/>
      <c r="T10" s="1">
        <f>O10</f>
        <v>32719</v>
      </c>
      <c r="U10" s="1"/>
      <c r="V10" s="1"/>
      <c r="W10" s="1"/>
      <c r="X10" s="1"/>
      <c r="Y10" s="1"/>
      <c r="AB10" s="1"/>
    </row>
    <row r="11" spans="1:28" ht="12" customHeight="1">
      <c r="A11">
        <v>202</v>
      </c>
      <c r="B11" t="s">
        <v>28</v>
      </c>
      <c r="C11" s="22" t="s">
        <v>70</v>
      </c>
      <c r="D11">
        <v>1000</v>
      </c>
      <c r="O11">
        <f t="shared" si="0"/>
        <v>1000</v>
      </c>
      <c r="Q11">
        <f t="shared" si="1"/>
        <v>0</v>
      </c>
      <c r="R11" s="11"/>
      <c r="S11" s="1"/>
      <c r="T11" s="1">
        <f>$O11</f>
        <v>1000</v>
      </c>
      <c r="U11" s="1"/>
      <c r="V11" s="1"/>
      <c r="W11" s="1"/>
      <c r="X11" s="1"/>
      <c r="Y11" s="1"/>
      <c r="AB11" s="1"/>
    </row>
    <row r="12" spans="1:28" ht="12" customHeight="1">
      <c r="A12">
        <v>206</v>
      </c>
      <c r="B12" t="s">
        <v>30</v>
      </c>
      <c r="C12" s="22" t="s">
        <v>86</v>
      </c>
      <c r="D12">
        <f>25000+5750+6000+9380+65498+26859+8100</f>
        <v>146587</v>
      </c>
      <c r="E12">
        <v>-10137</v>
      </c>
      <c r="O12">
        <f t="shared" si="0"/>
        <v>136450</v>
      </c>
      <c r="Q12">
        <f t="shared" si="1"/>
        <v>0</v>
      </c>
      <c r="R12" s="11"/>
      <c r="S12" s="1"/>
      <c r="T12" s="1"/>
      <c r="U12" s="1"/>
      <c r="V12" s="1">
        <f>$O12-X12</f>
        <v>136450</v>
      </c>
      <c r="W12" s="1"/>
      <c r="X12" s="1"/>
      <c r="Y12" s="1"/>
      <c r="AB12" s="1"/>
    </row>
    <row r="13" spans="1:25" ht="12" customHeight="1">
      <c r="A13">
        <v>401</v>
      </c>
      <c r="B13" t="s">
        <v>16</v>
      </c>
      <c r="C13" s="22" t="s">
        <v>83</v>
      </c>
      <c r="D13">
        <f>360+5520+14960+1500+2030</f>
        <v>24370</v>
      </c>
      <c r="J13">
        <v>21678</v>
      </c>
      <c r="K13">
        <v>1791</v>
      </c>
      <c r="O13">
        <f t="shared" si="0"/>
        <v>47839</v>
      </c>
      <c r="Q13">
        <f t="shared" si="1"/>
        <v>0</v>
      </c>
      <c r="R13" s="11"/>
      <c r="S13" s="1"/>
      <c r="T13" s="1"/>
      <c r="U13" s="1"/>
      <c r="V13" s="1"/>
      <c r="W13" s="1">
        <f>$O13</f>
        <v>47839</v>
      </c>
      <c r="X13" s="1"/>
      <c r="Y13" s="1"/>
    </row>
    <row r="14" spans="2:25" ht="12" customHeight="1">
      <c r="B14" t="s">
        <v>33</v>
      </c>
      <c r="C14" s="14">
        <v>5087</v>
      </c>
      <c r="D14">
        <v>22100</v>
      </c>
      <c r="O14">
        <f t="shared" si="0"/>
        <v>22100</v>
      </c>
      <c r="Q14">
        <f t="shared" si="1"/>
        <v>0</v>
      </c>
      <c r="R14" s="11"/>
      <c r="S14" s="1"/>
      <c r="T14" s="1"/>
      <c r="U14" s="1">
        <f>$O14</f>
        <v>22100</v>
      </c>
      <c r="V14" s="1"/>
      <c r="W14" s="1"/>
      <c r="X14" s="1"/>
      <c r="Y14" s="1"/>
    </row>
    <row r="15" spans="2:25" ht="12" customHeight="1">
      <c r="B15" s="23" t="s">
        <v>71</v>
      </c>
      <c r="C15" s="14">
        <v>9041</v>
      </c>
      <c r="O15">
        <f t="shared" si="0"/>
        <v>0</v>
      </c>
      <c r="Q15">
        <f t="shared" si="1"/>
        <v>0</v>
      </c>
      <c r="R15" s="11"/>
      <c r="S15" s="1"/>
      <c r="T15" s="1"/>
      <c r="U15" s="1"/>
      <c r="V15" s="1"/>
      <c r="W15" s="1"/>
      <c r="X15" s="1">
        <f>$O15</f>
        <v>0</v>
      </c>
      <c r="Y15" s="1"/>
    </row>
    <row r="16" spans="2:26" ht="12" customHeight="1">
      <c r="B16" t="s">
        <v>34</v>
      </c>
      <c r="C16" s="14"/>
      <c r="D16">
        <f>687492-SUM(D9:D14)-SUM(D18:D19)</f>
        <v>479435</v>
      </c>
      <c r="E16">
        <v>-200</v>
      </c>
      <c r="F16">
        <f>-4267-21844</f>
        <v>-26111</v>
      </c>
      <c r="J16" s="21">
        <f>-149001-84691-19553-16835</f>
        <v>-270080</v>
      </c>
      <c r="K16">
        <v>-51435</v>
      </c>
      <c r="O16">
        <f t="shared" si="0"/>
        <v>131609</v>
      </c>
      <c r="Q16">
        <f t="shared" si="1"/>
        <v>0</v>
      </c>
      <c r="R16" s="11"/>
      <c r="S16" s="1"/>
      <c r="T16" s="1"/>
      <c r="U16" s="1"/>
      <c r="V16" s="1"/>
      <c r="W16" s="1"/>
      <c r="X16" s="1"/>
      <c r="Y16" s="1"/>
      <c r="Z16" s="1">
        <f>$O16</f>
        <v>131609</v>
      </c>
    </row>
    <row r="17" spans="1:26" ht="12" customHeight="1">
      <c r="A17">
        <v>901</v>
      </c>
      <c r="B17" t="s">
        <v>35</v>
      </c>
      <c r="C17" s="14"/>
      <c r="O17">
        <f t="shared" si="0"/>
        <v>0</v>
      </c>
      <c r="Q17">
        <f t="shared" si="1"/>
        <v>0</v>
      </c>
      <c r="R17" s="11"/>
      <c r="S17" s="1"/>
      <c r="T17" s="1"/>
      <c r="U17" s="1"/>
      <c r="V17" s="1"/>
      <c r="W17" s="1"/>
      <c r="X17" s="1"/>
      <c r="Y17" s="1"/>
      <c r="Z17" s="1">
        <f>$O17</f>
        <v>0</v>
      </c>
    </row>
    <row r="18" spans="1:27" ht="12" customHeight="1">
      <c r="A18">
        <v>902</v>
      </c>
      <c r="B18" t="s">
        <v>36</v>
      </c>
      <c r="C18" s="14">
        <v>5086</v>
      </c>
      <c r="D18">
        <v>5000</v>
      </c>
      <c r="J18">
        <v>55451</v>
      </c>
      <c r="K18">
        <v>13637</v>
      </c>
      <c r="O18">
        <f t="shared" si="0"/>
        <v>74088</v>
      </c>
      <c r="Q18">
        <f t="shared" si="1"/>
        <v>0</v>
      </c>
      <c r="R18" s="11"/>
      <c r="S18" s="1"/>
      <c r="T18" s="1"/>
      <c r="U18" s="1"/>
      <c r="V18" s="1"/>
      <c r="W18" s="1"/>
      <c r="X18" s="1"/>
      <c r="Y18" s="1"/>
      <c r="AA18" s="1">
        <f>$O18</f>
        <v>74088</v>
      </c>
    </row>
    <row r="19" spans="1:28" ht="12" customHeight="1">
      <c r="A19">
        <v>903</v>
      </c>
      <c r="B19" t="s">
        <v>20</v>
      </c>
      <c r="C19" s="14">
        <v>5073</v>
      </c>
      <c r="D19">
        <v>500</v>
      </c>
      <c r="J19">
        <v>22514</v>
      </c>
      <c r="K19">
        <v>5851</v>
      </c>
      <c r="O19">
        <f t="shared" si="0"/>
        <v>28865</v>
      </c>
      <c r="Q19">
        <f t="shared" si="1"/>
        <v>0</v>
      </c>
      <c r="R19" s="11"/>
      <c r="S19" s="1"/>
      <c r="T19" s="1"/>
      <c r="U19" s="1"/>
      <c r="V19" s="1"/>
      <c r="W19" s="1"/>
      <c r="X19" s="1"/>
      <c r="Y19" s="1"/>
      <c r="AB19" s="1">
        <f>$O19</f>
        <v>28865</v>
      </c>
    </row>
    <row r="20" spans="2:25" ht="12" customHeight="1">
      <c r="B20" t="s">
        <v>37</v>
      </c>
      <c r="C20" s="14"/>
      <c r="D20">
        <v>19450</v>
      </c>
      <c r="G20">
        <f>-D20</f>
        <v>-19450</v>
      </c>
      <c r="O20">
        <f t="shared" si="0"/>
        <v>0</v>
      </c>
      <c r="Q20">
        <f t="shared" si="1"/>
        <v>0</v>
      </c>
      <c r="R20" s="11"/>
      <c r="S20" s="1"/>
      <c r="T20" s="1"/>
      <c r="U20" s="1"/>
      <c r="V20" s="1"/>
      <c r="W20" s="1"/>
      <c r="X20" s="1"/>
      <c r="Y20" s="1"/>
    </row>
    <row r="21" spans="2:25" ht="12" customHeight="1">
      <c r="B21" s="23" t="s">
        <v>87</v>
      </c>
      <c r="C21" s="14"/>
      <c r="E21">
        <v>-44961</v>
      </c>
      <c r="O21">
        <f>SUM(D21:N21)</f>
        <v>-44961</v>
      </c>
      <c r="Q21">
        <f>SUM(R21:S21)</f>
        <v>0</v>
      </c>
      <c r="R21" s="11"/>
      <c r="S21" s="1"/>
      <c r="T21" s="1"/>
      <c r="U21" s="1"/>
      <c r="V21" s="1"/>
      <c r="W21" s="1"/>
      <c r="X21" s="1"/>
      <c r="Y21" s="1">
        <f>$O21</f>
        <v>-44961</v>
      </c>
    </row>
    <row r="22" spans="2:25" ht="12" customHeight="1">
      <c r="B22" t="s">
        <v>66</v>
      </c>
      <c r="C22" s="14"/>
      <c r="D22">
        <v>-9760</v>
      </c>
      <c r="H22">
        <v>9760</v>
      </c>
      <c r="O22">
        <f t="shared" si="0"/>
        <v>0</v>
      </c>
      <c r="Q22">
        <f t="shared" si="1"/>
        <v>0</v>
      </c>
      <c r="R22" s="11"/>
      <c r="S22" s="1"/>
      <c r="T22" s="1"/>
      <c r="U22" s="1"/>
      <c r="V22" s="1"/>
      <c r="W22" s="1"/>
      <c r="X22" s="1"/>
      <c r="Y22" s="1"/>
    </row>
    <row r="23" spans="2:29" ht="12.75">
      <c r="B23" t="s">
        <v>9</v>
      </c>
      <c r="C23" s="14"/>
      <c r="E23">
        <v>-3350</v>
      </c>
      <c r="O23">
        <f t="shared" si="0"/>
        <v>-3350</v>
      </c>
      <c r="Q23">
        <f t="shared" si="1"/>
        <v>0</v>
      </c>
      <c r="R23" s="11"/>
      <c r="S23" s="1"/>
      <c r="T23" s="15"/>
      <c r="U23" s="1"/>
      <c r="V23" s="1"/>
      <c r="W23" s="1"/>
      <c r="X23" s="1"/>
      <c r="Y23" s="1"/>
      <c r="AC23" s="1">
        <f>$O23</f>
        <v>-3350</v>
      </c>
    </row>
    <row r="24" spans="4:29" ht="13.5" thickBot="1">
      <c r="D24" s="16">
        <f>SUM(D6:D23)</f>
        <v>935289</v>
      </c>
      <c r="E24" s="16">
        <f>SUM(E6:E23)</f>
        <v>-192648</v>
      </c>
      <c r="F24" s="16">
        <f>SUM(F6:F23)</f>
        <v>-26111</v>
      </c>
      <c r="G24" s="16">
        <f>SUM(G6:G23)</f>
        <v>-19450</v>
      </c>
      <c r="H24" s="16">
        <f>SUM(H6:H23)</f>
        <v>9760</v>
      </c>
      <c r="I24" s="16"/>
      <c r="J24" s="16">
        <f aca="true" t="shared" si="2" ref="J24:O24">SUM(J6:J23)</f>
        <v>0</v>
      </c>
      <c r="K24" s="16">
        <f t="shared" si="2"/>
        <v>0</v>
      </c>
      <c r="L24" s="16">
        <f t="shared" si="2"/>
        <v>0</v>
      </c>
      <c r="M24" s="16">
        <f t="shared" si="2"/>
        <v>0</v>
      </c>
      <c r="N24" s="16">
        <f t="shared" si="2"/>
        <v>0</v>
      </c>
      <c r="O24" s="16">
        <f t="shared" si="2"/>
        <v>706840</v>
      </c>
      <c r="Q24" s="16">
        <f aca="true" t="shared" si="3" ref="Q24:AC24">SUM(Q5:Q23)</f>
        <v>280481</v>
      </c>
      <c r="R24" s="16">
        <f t="shared" si="3"/>
        <v>280481</v>
      </c>
      <c r="S24" s="16">
        <f t="shared" si="3"/>
        <v>0</v>
      </c>
      <c r="T24" s="17">
        <f t="shared" si="3"/>
        <v>33719</v>
      </c>
      <c r="U24" s="16">
        <f>SUM(U5:U23)</f>
        <v>22100</v>
      </c>
      <c r="V24" s="16">
        <f t="shared" si="3"/>
        <v>136450</v>
      </c>
      <c r="W24" s="16">
        <f t="shared" si="3"/>
        <v>47839</v>
      </c>
      <c r="X24" s="16">
        <f t="shared" si="3"/>
        <v>0</v>
      </c>
      <c r="Y24" s="16">
        <f t="shared" si="3"/>
        <v>-44961</v>
      </c>
      <c r="Z24" s="16">
        <f t="shared" si="3"/>
        <v>131609</v>
      </c>
      <c r="AA24" s="16">
        <f t="shared" si="3"/>
        <v>74088</v>
      </c>
      <c r="AB24" s="16">
        <f t="shared" si="3"/>
        <v>28865</v>
      </c>
      <c r="AC24" s="16">
        <f t="shared" si="3"/>
        <v>-3350</v>
      </c>
    </row>
    <row r="25" spans="17:29" ht="14.25" thickBot="1" thickTop="1">
      <c r="Q25" s="18">
        <f>Q24</f>
        <v>280481</v>
      </c>
      <c r="R25" s="1"/>
      <c r="S25" s="1"/>
      <c r="T25" s="18">
        <f aca="true" t="shared" si="4" ref="T25:Z25">T24</f>
        <v>33719</v>
      </c>
      <c r="U25" s="34">
        <f>SUM(U24:V24)</f>
        <v>158550</v>
      </c>
      <c r="V25" s="34"/>
      <c r="W25" s="18">
        <f t="shared" si="4"/>
        <v>47839</v>
      </c>
      <c r="X25" s="18">
        <f t="shared" si="4"/>
        <v>0</v>
      </c>
      <c r="Y25" s="18">
        <f t="shared" si="4"/>
        <v>-44961</v>
      </c>
      <c r="Z25" s="18">
        <f t="shared" si="4"/>
        <v>131609</v>
      </c>
      <c r="AA25" s="34">
        <f>AA24+AB24</f>
        <v>102953</v>
      </c>
      <c r="AB25" s="34"/>
      <c r="AC25" s="18">
        <f>AC24</f>
        <v>-3350</v>
      </c>
    </row>
    <row r="26" spans="1:16" ht="14.25" thickBot="1" thickTop="1">
      <c r="A26" t="s">
        <v>39</v>
      </c>
      <c r="D26" s="17">
        <v>764877</v>
      </c>
      <c r="G26" s="1"/>
      <c r="H26" s="1"/>
      <c r="I26" s="1"/>
      <c r="O26" s="17">
        <f>D26</f>
        <v>764877</v>
      </c>
      <c r="P26" s="17">
        <f>SUM(Q25:AC25)</f>
        <v>706840</v>
      </c>
    </row>
    <row r="27" spans="1:14" ht="13.5" thickTop="1">
      <c r="A27" t="s">
        <v>40</v>
      </c>
      <c r="N27" s="1"/>
    </row>
    <row r="28" spans="1:15" ht="13.5" thickBot="1">
      <c r="A28" t="s">
        <v>41</v>
      </c>
      <c r="D28" s="35">
        <f>D24-D26+E24</f>
        <v>-22236</v>
      </c>
      <c r="E28" s="35"/>
      <c r="F28" s="17">
        <f>F24</f>
        <v>-26111</v>
      </c>
      <c r="G28" s="17">
        <f>G24</f>
        <v>-19450</v>
      </c>
      <c r="H28" s="17">
        <f>H24</f>
        <v>9760</v>
      </c>
      <c r="I28" s="17"/>
      <c r="J28" s="17">
        <f>J24</f>
        <v>0</v>
      </c>
      <c r="K28" s="17">
        <f>K24</f>
        <v>0</v>
      </c>
      <c r="L28" s="17">
        <f>L24</f>
        <v>0</v>
      </c>
      <c r="M28" s="17">
        <f>M24</f>
        <v>0</v>
      </c>
      <c r="N28" s="17">
        <f>N24</f>
        <v>0</v>
      </c>
      <c r="O28" s="17">
        <f>O24-O26</f>
        <v>-58037</v>
      </c>
    </row>
    <row r="29" spans="12:13" ht="14.25" thickBot="1" thickTop="1">
      <c r="L29" s="36">
        <f>SUM(L28:M28)</f>
        <v>0</v>
      </c>
      <c r="M29" s="36"/>
    </row>
    <row r="30" spans="4:5" ht="14.25" thickBot="1" thickTop="1">
      <c r="D30" s="27">
        <f>D24-D28</f>
        <v>957525</v>
      </c>
      <c r="E30" s="27">
        <f>-E24+D26</f>
        <v>957525</v>
      </c>
    </row>
    <row r="31" spans="1:5" ht="12.75" hidden="1">
      <c r="A31" t="s">
        <v>44</v>
      </c>
      <c r="B31" t="s">
        <v>45</v>
      </c>
      <c r="C31" s="1"/>
      <c r="D31" t="s">
        <v>53</v>
      </c>
      <c r="E31" t="s">
        <v>6</v>
      </c>
    </row>
    <row r="32" spans="1:4" ht="12.75" hidden="1">
      <c r="A32">
        <v>9015</v>
      </c>
      <c r="B32" t="s">
        <v>46</v>
      </c>
      <c r="C32" s="1"/>
      <c r="D32">
        <v>15000</v>
      </c>
    </row>
    <row r="33" spans="2:5" ht="12.75" hidden="1">
      <c r="B33" t="s">
        <v>47</v>
      </c>
      <c r="C33" s="1"/>
      <c r="D33">
        <v>-5000</v>
      </c>
      <c r="E33">
        <v>5000</v>
      </c>
    </row>
    <row r="34" ht="12.75" hidden="1">
      <c r="B34" t="s">
        <v>48</v>
      </c>
    </row>
    <row r="35" spans="1:4" ht="12.75" hidden="1">
      <c r="A35">
        <v>9020</v>
      </c>
      <c r="B35" t="s">
        <v>55</v>
      </c>
      <c r="D35">
        <v>10000</v>
      </c>
    </row>
    <row r="36" spans="1:4" ht="12.75" hidden="1">
      <c r="A36">
        <v>9022</v>
      </c>
      <c r="B36" t="s">
        <v>49</v>
      </c>
      <c r="D36">
        <v>4000</v>
      </c>
    </row>
    <row r="37" spans="1:5" ht="12.75" hidden="1">
      <c r="A37">
        <v>9024</v>
      </c>
      <c r="B37" t="s">
        <v>52</v>
      </c>
      <c r="E37">
        <v>500</v>
      </c>
    </row>
    <row r="38" spans="1:4" ht="12.75" hidden="1">
      <c r="A38">
        <v>9025</v>
      </c>
      <c r="B38" t="s">
        <v>50</v>
      </c>
      <c r="D38">
        <v>500</v>
      </c>
    </row>
    <row r="39" spans="1:4" ht="12.75" hidden="1">
      <c r="A39">
        <v>9026</v>
      </c>
      <c r="B39" t="s">
        <v>54</v>
      </c>
      <c r="D39">
        <v>500</v>
      </c>
    </row>
    <row r="40" spans="1:4" ht="12.75" hidden="1">
      <c r="A40">
        <v>9027</v>
      </c>
      <c r="B40" t="s">
        <v>24</v>
      </c>
      <c r="D40">
        <v>3500</v>
      </c>
    </row>
    <row r="41" spans="1:2" ht="12.75" hidden="1">
      <c r="A41">
        <v>9028</v>
      </c>
      <c r="B41" t="s">
        <v>52</v>
      </c>
    </row>
    <row r="42" spans="1:4" ht="12.75" hidden="1">
      <c r="A42">
        <v>9029</v>
      </c>
      <c r="B42" t="s">
        <v>51</v>
      </c>
      <c r="D42">
        <v>1000</v>
      </c>
    </row>
    <row r="43" spans="1:4" ht="12.75" hidden="1">
      <c r="A43">
        <v>9030</v>
      </c>
      <c r="B43" t="s">
        <v>50</v>
      </c>
      <c r="D43">
        <v>5000</v>
      </c>
    </row>
    <row r="44" spans="1:4" ht="12.75" hidden="1">
      <c r="A44">
        <v>9031</v>
      </c>
      <c r="B44" t="s">
        <v>54</v>
      </c>
      <c r="D44">
        <v>500</v>
      </c>
    </row>
    <row r="45" spans="1:5" ht="12.75" hidden="1">
      <c r="A45">
        <v>9032</v>
      </c>
      <c r="B45" t="s">
        <v>52</v>
      </c>
      <c r="E45">
        <v>1000</v>
      </c>
    </row>
    <row r="46" spans="3:6" ht="12.75" hidden="1">
      <c r="C46" s="19">
        <f>SUM(D46:E46)</f>
        <v>41500</v>
      </c>
      <c r="D46" s="25">
        <f>SUM(D32:D45)</f>
        <v>35000</v>
      </c>
      <c r="E46" s="25">
        <f>SUM(E32:E45)</f>
        <v>6500</v>
      </c>
      <c r="F46" s="1"/>
    </row>
    <row r="47" spans="2:5" ht="12.75">
      <c r="B47" s="23" t="s">
        <v>93</v>
      </c>
      <c r="D47" s="29">
        <f>624180-9760</f>
        <v>614420</v>
      </c>
      <c r="E47" s="26"/>
    </row>
    <row r="48" spans="2:4" ht="12.75">
      <c r="B48" s="23" t="s">
        <v>94</v>
      </c>
      <c r="D48" s="29">
        <v>624180</v>
      </c>
    </row>
    <row r="49" spans="2:4" ht="13.5" thickBot="1">
      <c r="B49" s="23" t="s">
        <v>80</v>
      </c>
      <c r="D49" s="30">
        <f>D47-D48</f>
        <v>-9760</v>
      </c>
    </row>
    <row r="50" ht="13.5" thickTop="1">
      <c r="D50" s="31"/>
    </row>
    <row r="51" spans="2:4" ht="12.75">
      <c r="B51" s="23" t="s">
        <v>95</v>
      </c>
      <c r="D51" s="31">
        <v>39999</v>
      </c>
    </row>
    <row r="52" spans="2:29" ht="12.75">
      <c r="B52" s="23" t="s">
        <v>100</v>
      </c>
      <c r="D52" s="31">
        <v>-46476</v>
      </c>
      <c r="Z52" s="1"/>
      <c r="AA52" s="1"/>
      <c r="AB52" s="1"/>
      <c r="AC52" s="1"/>
    </row>
    <row r="53" spans="2:29" ht="12.75">
      <c r="B53" s="23" t="s">
        <v>96</v>
      </c>
      <c r="D53" s="32">
        <f>SUM(D51:D52)</f>
        <v>-6477</v>
      </c>
      <c r="Z53" s="1"/>
      <c r="AA53" s="1"/>
      <c r="AB53" s="1"/>
      <c r="AC53" s="1"/>
    </row>
    <row r="54" spans="26:29" ht="12.75">
      <c r="Z54" s="1"/>
      <c r="AA54" s="1"/>
      <c r="AB54" s="1"/>
      <c r="AC54" s="1"/>
    </row>
  </sheetData>
  <sheetProtection/>
  <mergeCells count="5">
    <mergeCell ref="J4:K4"/>
    <mergeCell ref="U25:V25"/>
    <mergeCell ref="AA25:AB25"/>
    <mergeCell ref="D28:E28"/>
    <mergeCell ref="L29:M29"/>
  </mergeCells>
  <printOptions/>
  <pageMargins left="0.1968503937007874" right="0.2362204724409449" top="0.2755905511811024" bottom="0.6299212598425197" header="0.1968503937007874" footer="0.2362204724409449"/>
  <pageSetup fitToWidth="2" horizontalDpi="300" verticalDpi="300" orientation="landscape" paperSize="9" scale="77" r:id="rId1"/>
  <headerFooter alignWithMargins="0">
    <oddFooter>&amp;LPrepared by:
Accounting Solutions
&amp;"Arial,Italic"&amp;8from&amp;"Arial,Regular"&amp;10 DCK Beavers Ltd&amp;CFor:
Bradley Stoke Town Council&amp;R&amp;T
&amp;D</oddFooter>
  </headerFooter>
  <colBreaks count="1" manualBreakCount="1">
    <brk id="15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6.421875" style="0" customWidth="1"/>
    <col min="2" max="2" width="23.140625" style="0" customWidth="1"/>
    <col min="3" max="3" width="21.7109375" style="0" customWidth="1"/>
    <col min="4" max="4" width="10.57421875" style="0" bestFit="1" customWidth="1"/>
    <col min="5" max="6" width="9.00390625" style="0" customWidth="1"/>
    <col min="7" max="8" width="10.57421875" style="0" customWidth="1"/>
    <col min="9" max="9" width="3.8515625" style="0" customWidth="1"/>
    <col min="10" max="10" width="9.421875" style="0" bestFit="1" customWidth="1"/>
    <col min="11" max="12" width="9.28125" style="0" bestFit="1" customWidth="1"/>
    <col min="13" max="13" width="9.28125" style="0" customWidth="1"/>
    <col min="14" max="15" width="9.28125" style="0" bestFit="1" customWidth="1"/>
    <col min="16" max="16" width="8.7109375" style="0" bestFit="1" customWidth="1"/>
    <col min="17" max="17" width="8.7109375" style="0" customWidth="1"/>
    <col min="18" max="18" width="11.00390625" style="0" bestFit="1" customWidth="1"/>
    <col min="19" max="19" width="9.7109375" style="0" bestFit="1" customWidth="1"/>
    <col min="20" max="20" width="10.8515625" style="0" bestFit="1" customWidth="1"/>
    <col min="21" max="21" width="10.8515625" style="0" customWidth="1"/>
    <col min="22" max="22" width="10.8515625" style="0" bestFit="1" customWidth="1"/>
    <col min="23" max="23" width="9.140625" style="0" bestFit="1" customWidth="1"/>
    <col min="24" max="24" width="6.57421875" style="0" customWidth="1"/>
    <col min="25" max="25" width="8.00390625" style="0" bestFit="1" customWidth="1"/>
    <col min="27" max="27" width="8.7109375" style="0" bestFit="1" customWidth="1"/>
    <col min="28" max="28" width="7.7109375" style="0" bestFit="1" customWidth="1"/>
    <col min="29" max="29" width="7.7109375" style="0" customWidth="1"/>
  </cols>
  <sheetData>
    <row r="1" spans="1:18" ht="12.75">
      <c r="A1" s="2" t="s">
        <v>0</v>
      </c>
      <c r="E1" s="2" t="s">
        <v>85</v>
      </c>
      <c r="F1" s="2"/>
      <c r="R1" s="2" t="str">
        <f>E1</f>
        <v>2013/14 Budget Summary</v>
      </c>
    </row>
    <row r="2" spans="1:6" ht="12.75">
      <c r="A2" s="2"/>
      <c r="E2" s="2"/>
      <c r="F2" s="2"/>
    </row>
    <row r="3" spans="1:15" ht="13.5" thickBot="1">
      <c r="A3" s="2"/>
      <c r="B3" s="2"/>
      <c r="C3" s="2"/>
      <c r="D3" s="3" t="s">
        <v>2</v>
      </c>
      <c r="E3" s="3"/>
      <c r="F3" s="3"/>
      <c r="G3" s="3"/>
      <c r="H3" s="3"/>
      <c r="I3" s="3"/>
      <c r="J3" s="3"/>
      <c r="K3" s="3"/>
      <c r="L3" s="3"/>
      <c r="M3" s="3"/>
      <c r="N3" s="4"/>
      <c r="O3" s="4"/>
    </row>
    <row r="4" spans="3:29" ht="13.5" thickBot="1">
      <c r="C4" s="4" t="s">
        <v>3</v>
      </c>
      <c r="D4" s="4" t="s">
        <v>4</v>
      </c>
      <c r="E4" s="4" t="s">
        <v>5</v>
      </c>
      <c r="F4" s="4" t="s">
        <v>76</v>
      </c>
      <c r="G4" s="4" t="s">
        <v>6</v>
      </c>
      <c r="H4" s="4" t="s">
        <v>66</v>
      </c>
      <c r="I4" s="4"/>
      <c r="J4" s="33" t="s">
        <v>57</v>
      </c>
      <c r="K4" s="33"/>
      <c r="L4" s="4" t="s">
        <v>8</v>
      </c>
      <c r="M4" s="4" t="s">
        <v>73</v>
      </c>
      <c r="N4" s="4" t="s">
        <v>9</v>
      </c>
      <c r="O4" s="4" t="s">
        <v>10</v>
      </c>
      <c r="Q4" s="5" t="s">
        <v>11</v>
      </c>
      <c r="R4" s="6" t="s">
        <v>12</v>
      </c>
      <c r="S4" s="7" t="s">
        <v>13</v>
      </c>
      <c r="T4" s="8" t="s">
        <v>14</v>
      </c>
      <c r="U4" s="5" t="s">
        <v>90</v>
      </c>
      <c r="V4" s="9" t="s">
        <v>15</v>
      </c>
      <c r="W4" s="10" t="s">
        <v>16</v>
      </c>
      <c r="X4" s="10" t="s">
        <v>62</v>
      </c>
      <c r="Y4" s="10" t="s">
        <v>91</v>
      </c>
      <c r="Z4" s="9" t="s">
        <v>18</v>
      </c>
      <c r="AA4" s="9" t="s">
        <v>19</v>
      </c>
      <c r="AB4" s="9" t="s">
        <v>20</v>
      </c>
      <c r="AC4" s="5" t="s">
        <v>9</v>
      </c>
    </row>
    <row r="5" spans="10:29" ht="12.75">
      <c r="J5" s="4" t="s">
        <v>58</v>
      </c>
      <c r="K5" s="4" t="s">
        <v>59</v>
      </c>
      <c r="R5" s="11"/>
      <c r="S5" s="12"/>
      <c r="T5" s="1"/>
      <c r="U5" s="1"/>
      <c r="V5" s="12"/>
      <c r="W5" s="12"/>
      <c r="X5" s="12"/>
      <c r="Y5" s="12"/>
      <c r="Z5" s="1"/>
      <c r="AA5" s="13"/>
      <c r="AB5" s="13"/>
      <c r="AC5" s="13"/>
    </row>
    <row r="6" spans="1:27" ht="12" customHeight="1">
      <c r="A6">
        <v>101</v>
      </c>
      <c r="B6" t="s">
        <v>21</v>
      </c>
      <c r="C6" s="14"/>
      <c r="D6">
        <v>100710</v>
      </c>
      <c r="E6">
        <v>-52000</v>
      </c>
      <c r="I6" s="14" t="s">
        <v>22</v>
      </c>
      <c r="O6">
        <f aca="true" t="shared" si="0" ref="O6:O23">SUM(D6:N6)</f>
        <v>48710</v>
      </c>
      <c r="Q6">
        <f aca="true" t="shared" si="1" ref="Q6:Q23">SUM(R6:S6)</f>
        <v>48710</v>
      </c>
      <c r="R6" s="11">
        <f>O6</f>
        <v>48710</v>
      </c>
      <c r="S6" s="1"/>
      <c r="T6" s="1"/>
      <c r="U6" s="1"/>
      <c r="V6" s="1"/>
      <c r="W6" s="1"/>
      <c r="X6" s="1"/>
      <c r="AA6" s="1"/>
    </row>
    <row r="7" spans="1:28" ht="12" customHeight="1">
      <c r="A7">
        <v>102</v>
      </c>
      <c r="B7" t="s">
        <v>54</v>
      </c>
      <c r="C7" s="14"/>
      <c r="D7">
        <v>48115</v>
      </c>
      <c r="E7">
        <v>-20500</v>
      </c>
      <c r="I7" s="14" t="s">
        <v>22</v>
      </c>
      <c r="J7" s="23">
        <v>174682</v>
      </c>
      <c r="K7">
        <v>20172</v>
      </c>
      <c r="O7">
        <f t="shared" si="0"/>
        <v>222469</v>
      </c>
      <c r="Q7">
        <f t="shared" si="1"/>
        <v>222469</v>
      </c>
      <c r="R7" s="11">
        <f>O7</f>
        <v>222469</v>
      </c>
      <c r="S7" s="1"/>
      <c r="T7" s="1"/>
      <c r="U7" s="1"/>
      <c r="V7" s="1"/>
      <c r="W7" s="1"/>
      <c r="X7" s="1"/>
      <c r="Y7" s="1"/>
      <c r="AB7" s="1"/>
    </row>
    <row r="8" spans="1:28" ht="12" customHeight="1">
      <c r="A8">
        <v>103</v>
      </c>
      <c r="B8" t="s">
        <v>24</v>
      </c>
      <c r="C8" s="14"/>
      <c r="D8">
        <v>95720</v>
      </c>
      <c r="E8">
        <v>-55000</v>
      </c>
      <c r="I8" s="14" t="s">
        <v>22</v>
      </c>
      <c r="O8">
        <f t="shared" si="0"/>
        <v>40720</v>
      </c>
      <c r="Q8">
        <f t="shared" si="1"/>
        <v>40720</v>
      </c>
      <c r="R8" s="11">
        <f>O8</f>
        <v>40720</v>
      </c>
      <c r="S8" s="1"/>
      <c r="T8" s="1"/>
      <c r="U8" s="1"/>
      <c r="V8" s="1"/>
      <c r="W8" s="1"/>
      <c r="X8" s="1"/>
      <c r="Y8" s="1"/>
      <c r="AB8" s="1"/>
    </row>
    <row r="9" spans="2:28" ht="12" customHeight="1">
      <c r="B9" t="s">
        <v>25</v>
      </c>
      <c r="C9" s="14">
        <v>5084</v>
      </c>
      <c r="D9">
        <v>0</v>
      </c>
      <c r="I9" s="14"/>
      <c r="O9">
        <f t="shared" si="0"/>
        <v>0</v>
      </c>
      <c r="Q9">
        <f t="shared" si="1"/>
        <v>0</v>
      </c>
      <c r="R9" s="11"/>
      <c r="S9" s="1">
        <f>O9</f>
        <v>0</v>
      </c>
      <c r="T9" s="1"/>
      <c r="U9" s="1"/>
      <c r="V9" s="1"/>
      <c r="W9" s="1"/>
      <c r="X9" s="1"/>
      <c r="Y9" s="1"/>
      <c r="AB9" s="1"/>
    </row>
    <row r="10" spans="1:28" ht="12" customHeight="1">
      <c r="A10">
        <v>201</v>
      </c>
      <c r="B10" t="s">
        <v>26</v>
      </c>
      <c r="C10" s="22" t="s">
        <v>77</v>
      </c>
      <c r="D10">
        <f>3600+5600</f>
        <v>9200</v>
      </c>
      <c r="J10">
        <v>14358</v>
      </c>
      <c r="K10">
        <v>4158</v>
      </c>
      <c r="O10">
        <f t="shared" si="0"/>
        <v>27716</v>
      </c>
      <c r="Q10">
        <f t="shared" si="1"/>
        <v>0</v>
      </c>
      <c r="R10" s="11"/>
      <c r="S10" s="1"/>
      <c r="T10" s="1">
        <f>O10</f>
        <v>27716</v>
      </c>
      <c r="U10" s="1"/>
      <c r="V10" s="1"/>
      <c r="W10" s="1"/>
      <c r="X10" s="1"/>
      <c r="Y10" s="1"/>
      <c r="AB10" s="1"/>
    </row>
    <row r="11" spans="1:28" ht="12" customHeight="1">
      <c r="A11">
        <v>202</v>
      </c>
      <c r="B11" t="s">
        <v>28</v>
      </c>
      <c r="C11" s="22" t="s">
        <v>70</v>
      </c>
      <c r="D11">
        <v>1000</v>
      </c>
      <c r="O11">
        <f t="shared" si="0"/>
        <v>1000</v>
      </c>
      <c r="Q11">
        <f t="shared" si="1"/>
        <v>0</v>
      </c>
      <c r="R11" s="11"/>
      <c r="S11" s="1"/>
      <c r="T11" s="1">
        <f>$O11</f>
        <v>1000</v>
      </c>
      <c r="U11" s="1"/>
      <c r="V11" s="1"/>
      <c r="W11" s="1"/>
      <c r="X11" s="1"/>
      <c r="Y11" s="1"/>
      <c r="AB11" s="1"/>
    </row>
    <row r="12" spans="1:28" ht="12" customHeight="1">
      <c r="A12">
        <v>206</v>
      </c>
      <c r="B12" t="s">
        <v>30</v>
      </c>
      <c r="C12" s="22" t="s">
        <v>86</v>
      </c>
      <c r="D12">
        <f>25000+5000+6000+6970+2410+51600+26560+8500</f>
        <v>132040</v>
      </c>
      <c r="O12">
        <f t="shared" si="0"/>
        <v>132040</v>
      </c>
      <c r="Q12">
        <f t="shared" si="1"/>
        <v>0</v>
      </c>
      <c r="R12" s="11"/>
      <c r="S12" s="1"/>
      <c r="T12" s="1"/>
      <c r="U12" s="1"/>
      <c r="V12" s="1">
        <f>$O12-X12</f>
        <v>132040</v>
      </c>
      <c r="W12" s="1"/>
      <c r="X12" s="1"/>
      <c r="Y12" s="1"/>
      <c r="AB12" s="1"/>
    </row>
    <row r="13" spans="1:25" ht="12" customHeight="1">
      <c r="A13">
        <v>401</v>
      </c>
      <c r="B13" t="s">
        <v>16</v>
      </c>
      <c r="C13" s="22" t="s">
        <v>83</v>
      </c>
      <c r="D13">
        <f>7210+9800+340+1500+1102+3600</f>
        <v>23552</v>
      </c>
      <c r="J13">
        <v>17587</v>
      </c>
      <c r="K13">
        <v>1384</v>
      </c>
      <c r="O13">
        <f t="shared" si="0"/>
        <v>42523</v>
      </c>
      <c r="Q13">
        <f t="shared" si="1"/>
        <v>0</v>
      </c>
      <c r="R13" s="11"/>
      <c r="S13" s="1"/>
      <c r="T13" s="1"/>
      <c r="U13" s="1"/>
      <c r="V13" s="1"/>
      <c r="W13" s="1">
        <f>$O13</f>
        <v>42523</v>
      </c>
      <c r="X13" s="1"/>
      <c r="Y13" s="1"/>
    </row>
    <row r="14" spans="2:25" ht="12" customHeight="1">
      <c r="B14" t="s">
        <v>33</v>
      </c>
      <c r="C14" s="14">
        <v>5087</v>
      </c>
      <c r="D14">
        <v>24100</v>
      </c>
      <c r="O14">
        <f t="shared" si="0"/>
        <v>24100</v>
      </c>
      <c r="Q14">
        <f t="shared" si="1"/>
        <v>0</v>
      </c>
      <c r="R14" s="11"/>
      <c r="S14" s="1"/>
      <c r="T14" s="1"/>
      <c r="U14" s="1">
        <f>$O14</f>
        <v>24100</v>
      </c>
      <c r="V14" s="1"/>
      <c r="W14" s="1"/>
      <c r="X14" s="1"/>
      <c r="Y14" s="1"/>
    </row>
    <row r="15" spans="2:25" ht="12" customHeight="1">
      <c r="B15" s="23" t="s">
        <v>71</v>
      </c>
      <c r="C15" s="14">
        <v>9041</v>
      </c>
      <c r="O15">
        <f t="shared" si="0"/>
        <v>0</v>
      </c>
      <c r="Q15">
        <f t="shared" si="1"/>
        <v>0</v>
      </c>
      <c r="R15" s="11"/>
      <c r="S15" s="1"/>
      <c r="T15" s="1"/>
      <c r="U15" s="1"/>
      <c r="V15" s="1"/>
      <c r="W15" s="1"/>
      <c r="X15" s="1">
        <f>$O15</f>
        <v>0</v>
      </c>
      <c r="Y15" s="1"/>
    </row>
    <row r="16" spans="2:26" ht="12" customHeight="1">
      <c r="B16" t="s">
        <v>34</v>
      </c>
      <c r="C16" s="14"/>
      <c r="D16">
        <f>660916-SUM(D9:D14)-SUM(D18:D19)</f>
        <v>470524</v>
      </c>
      <c r="E16">
        <v>-200</v>
      </c>
      <c r="F16">
        <f>-4267-21844</f>
        <v>-26111</v>
      </c>
      <c r="J16" s="21">
        <f>-147407-101500-12545</f>
        <v>-261452</v>
      </c>
      <c r="K16">
        <v>-39177</v>
      </c>
      <c r="O16">
        <f t="shared" si="0"/>
        <v>143584</v>
      </c>
      <c r="Q16">
        <f t="shared" si="1"/>
        <v>0</v>
      </c>
      <c r="R16" s="11"/>
      <c r="S16" s="1"/>
      <c r="T16" s="1"/>
      <c r="U16" s="1"/>
      <c r="V16" s="1"/>
      <c r="W16" s="1"/>
      <c r="X16" s="1"/>
      <c r="Y16" s="1"/>
      <c r="Z16" s="1">
        <f>$O16</f>
        <v>143584</v>
      </c>
    </row>
    <row r="17" spans="1:26" ht="12" customHeight="1">
      <c r="A17">
        <v>901</v>
      </c>
      <c r="B17" t="s">
        <v>35</v>
      </c>
      <c r="C17" s="14"/>
      <c r="O17">
        <f t="shared" si="0"/>
        <v>0</v>
      </c>
      <c r="Q17">
        <f t="shared" si="1"/>
        <v>0</v>
      </c>
      <c r="R17" s="11"/>
      <c r="S17" s="1"/>
      <c r="T17" s="1"/>
      <c r="U17" s="1"/>
      <c r="V17" s="1"/>
      <c r="W17" s="1"/>
      <c r="X17" s="1"/>
      <c r="Y17" s="1"/>
      <c r="Z17" s="1">
        <f>$O17</f>
        <v>0</v>
      </c>
    </row>
    <row r="18" spans="1:27" ht="12" customHeight="1">
      <c r="A18">
        <v>902</v>
      </c>
      <c r="B18" t="s">
        <v>36</v>
      </c>
      <c r="C18" s="14">
        <v>5086</v>
      </c>
      <c r="D18">
        <v>0</v>
      </c>
      <c r="J18">
        <v>41998</v>
      </c>
      <c r="K18">
        <v>9587</v>
      </c>
      <c r="O18">
        <f t="shared" si="0"/>
        <v>51585</v>
      </c>
      <c r="Q18">
        <f t="shared" si="1"/>
        <v>0</v>
      </c>
      <c r="R18" s="11"/>
      <c r="S18" s="1"/>
      <c r="T18" s="1"/>
      <c r="U18" s="1"/>
      <c r="V18" s="1"/>
      <c r="W18" s="1"/>
      <c r="X18" s="1"/>
      <c r="Y18" s="1"/>
      <c r="AA18" s="1">
        <f>$O18</f>
        <v>51585</v>
      </c>
    </row>
    <row r="19" spans="1:28" ht="12" customHeight="1">
      <c r="A19">
        <v>903</v>
      </c>
      <c r="B19" t="s">
        <v>20</v>
      </c>
      <c r="C19" s="14">
        <v>5073</v>
      </c>
      <c r="D19">
        <v>500</v>
      </c>
      <c r="J19">
        <v>12827</v>
      </c>
      <c r="K19">
        <v>3876</v>
      </c>
      <c r="O19">
        <f t="shared" si="0"/>
        <v>17203</v>
      </c>
      <c r="Q19">
        <f t="shared" si="1"/>
        <v>0</v>
      </c>
      <c r="R19" s="11"/>
      <c r="S19" s="1"/>
      <c r="T19" s="1"/>
      <c r="U19" s="1"/>
      <c r="V19" s="1"/>
      <c r="W19" s="1"/>
      <c r="X19" s="1"/>
      <c r="Y19" s="1"/>
      <c r="AB19" s="1">
        <f>$O19</f>
        <v>17203</v>
      </c>
    </row>
    <row r="20" spans="2:25" ht="12" customHeight="1">
      <c r="B20" t="s">
        <v>37</v>
      </c>
      <c r="C20" s="14"/>
      <c r="D20">
        <f>18600</f>
        <v>18600</v>
      </c>
      <c r="G20">
        <f>-D20</f>
        <v>-18600</v>
      </c>
      <c r="O20">
        <f t="shared" si="0"/>
        <v>0</v>
      </c>
      <c r="Q20">
        <f t="shared" si="1"/>
        <v>0</v>
      </c>
      <c r="R20" s="11"/>
      <c r="S20" s="1"/>
      <c r="T20" s="1"/>
      <c r="U20" s="1"/>
      <c r="V20" s="1"/>
      <c r="W20" s="1"/>
      <c r="X20" s="1"/>
      <c r="Y20" s="1"/>
    </row>
    <row r="21" spans="2:25" ht="12" customHeight="1">
      <c r="B21" s="23" t="s">
        <v>87</v>
      </c>
      <c r="C21" s="14"/>
      <c r="E21">
        <v>-48416</v>
      </c>
      <c r="O21">
        <f>SUM(D21:N21)</f>
        <v>-48416</v>
      </c>
      <c r="Q21">
        <f>SUM(R21:S21)</f>
        <v>0</v>
      </c>
      <c r="R21" s="11"/>
      <c r="S21" s="1"/>
      <c r="T21" s="1"/>
      <c r="U21" s="1"/>
      <c r="V21" s="1"/>
      <c r="W21" s="1"/>
      <c r="X21" s="1"/>
      <c r="Y21" s="1">
        <f>$O21</f>
        <v>-48416</v>
      </c>
    </row>
    <row r="22" spans="2:25" ht="12" customHeight="1">
      <c r="B22" t="s">
        <v>66</v>
      </c>
      <c r="C22" s="14"/>
      <c r="D22">
        <v>-16592</v>
      </c>
      <c r="H22">
        <v>16592</v>
      </c>
      <c r="O22">
        <f t="shared" si="0"/>
        <v>0</v>
      </c>
      <c r="Q22">
        <f t="shared" si="1"/>
        <v>0</v>
      </c>
      <c r="R22" s="11"/>
      <c r="S22" s="1"/>
      <c r="T22" s="1"/>
      <c r="U22" s="1"/>
      <c r="V22" s="1"/>
      <c r="W22" s="1"/>
      <c r="X22" s="1"/>
      <c r="Y22" s="1"/>
    </row>
    <row r="23" spans="2:29" ht="12.75">
      <c r="B23" t="s">
        <v>9</v>
      </c>
      <c r="C23" s="14"/>
      <c r="E23">
        <v>-2000</v>
      </c>
      <c r="O23">
        <f t="shared" si="0"/>
        <v>-2000</v>
      </c>
      <c r="Q23">
        <f t="shared" si="1"/>
        <v>0</v>
      </c>
      <c r="R23" s="11"/>
      <c r="S23" s="1"/>
      <c r="T23" s="15"/>
      <c r="U23" s="1"/>
      <c r="V23" s="1"/>
      <c r="W23" s="1"/>
      <c r="X23" s="1"/>
      <c r="Y23" s="1"/>
      <c r="AC23" s="1">
        <f>$O23</f>
        <v>-2000</v>
      </c>
    </row>
    <row r="24" spans="4:29" ht="13.5" thickBot="1">
      <c r="D24" s="16">
        <f>SUM(D6:D23)</f>
        <v>907469</v>
      </c>
      <c r="E24" s="16">
        <f>SUM(E6:E23)</f>
        <v>-178116</v>
      </c>
      <c r="F24" s="16">
        <f>SUM(F6:F23)</f>
        <v>-26111</v>
      </c>
      <c r="G24" s="16">
        <f>SUM(G6:G23)</f>
        <v>-18600</v>
      </c>
      <c r="H24" s="16">
        <f>SUM(H6:H23)</f>
        <v>16592</v>
      </c>
      <c r="I24" s="16"/>
      <c r="J24" s="16">
        <f aca="true" t="shared" si="2" ref="J24:O24">SUM(J6:J23)</f>
        <v>0</v>
      </c>
      <c r="K24" s="16">
        <f t="shared" si="2"/>
        <v>0</v>
      </c>
      <c r="L24" s="16">
        <f t="shared" si="2"/>
        <v>0</v>
      </c>
      <c r="M24" s="16">
        <f t="shared" si="2"/>
        <v>0</v>
      </c>
      <c r="N24" s="16">
        <f t="shared" si="2"/>
        <v>0</v>
      </c>
      <c r="O24" s="16">
        <f t="shared" si="2"/>
        <v>701234</v>
      </c>
      <c r="Q24" s="16">
        <f aca="true" t="shared" si="3" ref="Q24:AC24">SUM(Q5:Q23)</f>
        <v>311899</v>
      </c>
      <c r="R24" s="16">
        <f t="shared" si="3"/>
        <v>311899</v>
      </c>
      <c r="S24" s="16">
        <f t="shared" si="3"/>
        <v>0</v>
      </c>
      <c r="T24" s="17">
        <f t="shared" si="3"/>
        <v>28716</v>
      </c>
      <c r="U24" s="16">
        <f>SUM(U5:U23)</f>
        <v>24100</v>
      </c>
      <c r="V24" s="16">
        <f t="shared" si="3"/>
        <v>132040</v>
      </c>
      <c r="W24" s="16">
        <f t="shared" si="3"/>
        <v>42523</v>
      </c>
      <c r="X24" s="16">
        <f t="shared" si="3"/>
        <v>0</v>
      </c>
      <c r="Y24" s="16">
        <f t="shared" si="3"/>
        <v>-48416</v>
      </c>
      <c r="Z24" s="16">
        <f t="shared" si="3"/>
        <v>143584</v>
      </c>
      <c r="AA24" s="16">
        <f t="shared" si="3"/>
        <v>51585</v>
      </c>
      <c r="AB24" s="16">
        <f t="shared" si="3"/>
        <v>17203</v>
      </c>
      <c r="AC24" s="16">
        <f t="shared" si="3"/>
        <v>-2000</v>
      </c>
    </row>
    <row r="25" spans="17:29" ht="14.25" thickBot="1" thickTop="1">
      <c r="Q25" s="18">
        <f>Q24</f>
        <v>311899</v>
      </c>
      <c r="R25" s="1"/>
      <c r="S25" s="1"/>
      <c r="T25" s="18">
        <f aca="true" t="shared" si="4" ref="T25:Z25">T24</f>
        <v>28716</v>
      </c>
      <c r="U25" s="34">
        <f>SUM(U24:V24)</f>
        <v>156140</v>
      </c>
      <c r="V25" s="34"/>
      <c r="W25" s="18">
        <f t="shared" si="4"/>
        <v>42523</v>
      </c>
      <c r="X25" s="18">
        <f t="shared" si="4"/>
        <v>0</v>
      </c>
      <c r="Y25" s="18">
        <f t="shared" si="4"/>
        <v>-48416</v>
      </c>
      <c r="Z25" s="18">
        <f t="shared" si="4"/>
        <v>143584</v>
      </c>
      <c r="AA25" s="34">
        <f>AA24+AB24</f>
        <v>68788</v>
      </c>
      <c r="AB25" s="34"/>
      <c r="AC25" s="18">
        <f>AC24</f>
        <v>-2000</v>
      </c>
    </row>
    <row r="26" spans="1:16" ht="14.25" thickBot="1" thickTop="1">
      <c r="A26" t="s">
        <v>39</v>
      </c>
      <c r="D26" s="17">
        <v>717434</v>
      </c>
      <c r="G26" s="1"/>
      <c r="H26" s="1"/>
      <c r="I26" s="1"/>
      <c r="O26" s="17">
        <f>D26</f>
        <v>717434</v>
      </c>
      <c r="P26" s="17">
        <f>SUM(Q25:AC25)</f>
        <v>701234</v>
      </c>
    </row>
    <row r="27" spans="1:14" ht="13.5" thickTop="1">
      <c r="A27" t="s">
        <v>40</v>
      </c>
      <c r="N27" s="1"/>
    </row>
    <row r="28" spans="1:15" ht="13.5" thickBot="1">
      <c r="A28" t="s">
        <v>41</v>
      </c>
      <c r="D28" s="35">
        <f>D24-D26+E24</f>
        <v>11919</v>
      </c>
      <c r="E28" s="35"/>
      <c r="F28" s="17">
        <f>F24</f>
        <v>-26111</v>
      </c>
      <c r="G28" s="17">
        <f>G24</f>
        <v>-18600</v>
      </c>
      <c r="H28" s="17">
        <f>H24</f>
        <v>16592</v>
      </c>
      <c r="I28" s="17"/>
      <c r="J28" s="17">
        <f>J24</f>
        <v>0</v>
      </c>
      <c r="K28" s="17">
        <f>K24</f>
        <v>0</v>
      </c>
      <c r="L28" s="17">
        <f>L24</f>
        <v>0</v>
      </c>
      <c r="M28" s="17">
        <f>M24</f>
        <v>0</v>
      </c>
      <c r="N28" s="17">
        <f>N24</f>
        <v>0</v>
      </c>
      <c r="O28" s="17">
        <f>O24-O26</f>
        <v>-16200</v>
      </c>
    </row>
    <row r="29" spans="12:13" ht="14.25" thickBot="1" thickTop="1">
      <c r="L29" s="36">
        <f>SUM(L28:M28)</f>
        <v>0</v>
      </c>
      <c r="M29" s="36"/>
    </row>
    <row r="30" spans="4:5" ht="14.25" thickBot="1" thickTop="1">
      <c r="D30" s="27">
        <f>D24-D28</f>
        <v>895550</v>
      </c>
      <c r="E30" s="27">
        <f>-E24+D26</f>
        <v>895550</v>
      </c>
    </row>
    <row r="31" spans="1:5" ht="12.75" hidden="1">
      <c r="A31" t="s">
        <v>44</v>
      </c>
      <c r="B31" t="s">
        <v>45</v>
      </c>
      <c r="C31" s="1"/>
      <c r="D31" t="s">
        <v>53</v>
      </c>
      <c r="E31" t="s">
        <v>6</v>
      </c>
    </row>
    <row r="32" spans="1:4" ht="12.75" hidden="1">
      <c r="A32">
        <v>9015</v>
      </c>
      <c r="B32" t="s">
        <v>46</v>
      </c>
      <c r="C32" s="1"/>
      <c r="D32">
        <v>15000</v>
      </c>
    </row>
    <row r="33" spans="2:5" ht="12.75" hidden="1">
      <c r="B33" t="s">
        <v>47</v>
      </c>
      <c r="C33" s="1"/>
      <c r="D33">
        <v>-5000</v>
      </c>
      <c r="E33">
        <v>5000</v>
      </c>
    </row>
    <row r="34" ht="12.75" hidden="1">
      <c r="B34" t="s">
        <v>48</v>
      </c>
    </row>
    <row r="35" spans="1:4" ht="12.75" hidden="1">
      <c r="A35">
        <v>9020</v>
      </c>
      <c r="B35" t="s">
        <v>55</v>
      </c>
      <c r="D35">
        <v>10000</v>
      </c>
    </row>
    <row r="36" spans="1:4" ht="12.75" hidden="1">
      <c r="A36">
        <v>9022</v>
      </c>
      <c r="B36" t="s">
        <v>49</v>
      </c>
      <c r="D36">
        <v>4000</v>
      </c>
    </row>
    <row r="37" spans="1:5" ht="12.75" hidden="1">
      <c r="A37">
        <v>9024</v>
      </c>
      <c r="B37" t="s">
        <v>52</v>
      </c>
      <c r="E37">
        <v>500</v>
      </c>
    </row>
    <row r="38" spans="1:4" ht="12.75" hidden="1">
      <c r="A38">
        <v>9025</v>
      </c>
      <c r="B38" t="s">
        <v>50</v>
      </c>
      <c r="D38">
        <v>500</v>
      </c>
    </row>
    <row r="39" spans="1:4" ht="12.75" hidden="1">
      <c r="A39">
        <v>9026</v>
      </c>
      <c r="B39" t="s">
        <v>54</v>
      </c>
      <c r="D39">
        <v>500</v>
      </c>
    </row>
    <row r="40" spans="1:4" ht="12.75" hidden="1">
      <c r="A40">
        <v>9027</v>
      </c>
      <c r="B40" t="s">
        <v>24</v>
      </c>
      <c r="D40">
        <v>3500</v>
      </c>
    </row>
    <row r="41" spans="1:2" ht="12.75" hidden="1">
      <c r="A41">
        <v>9028</v>
      </c>
      <c r="B41" t="s">
        <v>52</v>
      </c>
    </row>
    <row r="42" spans="1:4" ht="12.75" hidden="1">
      <c r="A42">
        <v>9029</v>
      </c>
      <c r="B42" t="s">
        <v>51</v>
      </c>
      <c r="D42">
        <v>1000</v>
      </c>
    </row>
    <row r="43" spans="1:4" ht="12.75" hidden="1">
      <c r="A43">
        <v>9030</v>
      </c>
      <c r="B43" t="s">
        <v>50</v>
      </c>
      <c r="D43">
        <v>5000</v>
      </c>
    </row>
    <row r="44" spans="1:4" ht="12.75" hidden="1">
      <c r="A44">
        <v>9031</v>
      </c>
      <c r="B44" t="s">
        <v>54</v>
      </c>
      <c r="D44">
        <v>500</v>
      </c>
    </row>
    <row r="45" spans="1:5" ht="12.75" hidden="1">
      <c r="A45">
        <v>9032</v>
      </c>
      <c r="B45" t="s">
        <v>52</v>
      </c>
      <c r="E45">
        <v>1000</v>
      </c>
    </row>
    <row r="46" spans="3:6" ht="12.75" hidden="1">
      <c r="C46" s="19">
        <f>SUM(D46:E46)</f>
        <v>41500</v>
      </c>
      <c r="D46" s="25">
        <f>SUM(D32:D45)</f>
        <v>35000</v>
      </c>
      <c r="E46" s="25">
        <f>SUM(E32:E45)</f>
        <v>6500</v>
      </c>
      <c r="F46" s="1"/>
    </row>
    <row r="47" spans="2:5" ht="12.75">
      <c r="B47" s="23" t="s">
        <v>88</v>
      </c>
      <c r="D47" s="26">
        <v>519232</v>
      </c>
      <c r="E47" s="26"/>
    </row>
    <row r="48" spans="2:4" ht="12.75">
      <c r="B48" s="23" t="s">
        <v>89</v>
      </c>
      <c r="D48" s="28">
        <v>535824</v>
      </c>
    </row>
    <row r="49" spans="2:4" ht="13.5" thickBot="1">
      <c r="B49" s="23" t="s">
        <v>80</v>
      </c>
      <c r="D49" s="16">
        <f>D47-D48</f>
        <v>-16592</v>
      </c>
    </row>
    <row r="50" ht="13.5" thickTop="1"/>
    <row r="52" spans="26:29" ht="12.75">
      <c r="Z52" s="1"/>
      <c r="AA52" s="1"/>
      <c r="AB52" s="1"/>
      <c r="AC52" s="1"/>
    </row>
    <row r="53" spans="26:29" ht="12.75">
      <c r="Z53" s="1"/>
      <c r="AA53" s="1"/>
      <c r="AB53" s="1"/>
      <c r="AC53" s="1"/>
    </row>
    <row r="54" spans="26:29" ht="12.75">
      <c r="Z54" s="1"/>
      <c r="AA54" s="1"/>
      <c r="AB54" s="1"/>
      <c r="AC54" s="1"/>
    </row>
  </sheetData>
  <sheetProtection/>
  <mergeCells count="5">
    <mergeCell ref="J4:K4"/>
    <mergeCell ref="AA25:AB25"/>
    <mergeCell ref="D28:E28"/>
    <mergeCell ref="L29:M29"/>
    <mergeCell ref="U25:V25"/>
  </mergeCells>
  <printOptions/>
  <pageMargins left="0.1968503937007874" right="0.2362204724409449" top="0.2755905511811024" bottom="0.6299212598425197" header="0.1968503937007874" footer="0.2362204724409449"/>
  <pageSetup fitToWidth="2" horizontalDpi="300" verticalDpi="300" orientation="landscape" paperSize="9" scale="77" r:id="rId1"/>
  <headerFooter alignWithMargins="0">
    <oddFooter>&amp;LPrepared by:
Accounting Solutions
&amp;"Arial,Italic"&amp;8from&amp;"Arial,Regular"&amp;10 DCK Beavers Ltd&amp;CFor:
Bradley Stoke Town Council&amp;R&amp;T
&amp;D</oddFooter>
  </headerFooter>
  <colBreaks count="1" manualBreakCount="1">
    <brk id="15" max="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53"/>
  <sheetViews>
    <sheetView zoomScalePageLayoutView="0" workbookViewId="0" topLeftCell="C1">
      <selection activeCell="V14" sqref="V14"/>
    </sheetView>
  </sheetViews>
  <sheetFormatPr defaultColWidth="9.140625" defaultRowHeight="12.75"/>
  <cols>
    <col min="1" max="1" width="6.421875" style="0" customWidth="1"/>
    <col min="2" max="2" width="23.140625" style="0" customWidth="1"/>
    <col min="3" max="3" width="18.140625" style="0" bestFit="1" customWidth="1"/>
    <col min="4" max="4" width="9.28125" style="0" bestFit="1" customWidth="1"/>
    <col min="5" max="6" width="9.00390625" style="0" customWidth="1"/>
    <col min="7" max="8" width="10.57421875" style="0" customWidth="1"/>
    <col min="9" max="9" width="3.8515625" style="0" customWidth="1"/>
    <col min="10" max="10" width="9.421875" style="0" bestFit="1" customWidth="1"/>
    <col min="11" max="12" width="9.28125" style="0" bestFit="1" customWidth="1"/>
    <col min="13" max="13" width="9.28125" style="0" customWidth="1"/>
    <col min="14" max="15" width="9.28125" style="0" bestFit="1" customWidth="1"/>
    <col min="16" max="16" width="8.7109375" style="0" bestFit="1" customWidth="1"/>
    <col min="17" max="17" width="8.7109375" style="0" customWidth="1"/>
    <col min="18" max="18" width="11.00390625" style="0" bestFit="1" customWidth="1"/>
    <col min="19" max="19" width="9.7109375" style="0" bestFit="1" customWidth="1"/>
    <col min="20" max="21" width="10.8515625" style="0" bestFit="1" customWidth="1"/>
    <col min="22" max="22" width="6.57421875" style="0" bestFit="1" customWidth="1"/>
    <col min="23" max="23" width="6.57421875" style="0" customWidth="1"/>
    <col min="24" max="24" width="8.00390625" style="0" bestFit="1" customWidth="1"/>
    <col min="26" max="26" width="6.28125" style="0" customWidth="1"/>
    <col min="27" max="27" width="6.00390625" style="0" bestFit="1" customWidth="1"/>
    <col min="28" max="28" width="7.7109375" style="0" customWidth="1"/>
  </cols>
  <sheetData>
    <row r="1" spans="1:18" ht="12.75">
      <c r="A1" s="2" t="s">
        <v>0</v>
      </c>
      <c r="E1" s="2" t="s">
        <v>81</v>
      </c>
      <c r="F1" s="2"/>
      <c r="R1" s="2" t="str">
        <f>E1</f>
        <v>2012/13 Budget Summary</v>
      </c>
    </row>
    <row r="2" spans="1:6" ht="12.75">
      <c r="A2" s="2"/>
      <c r="E2" s="2"/>
      <c r="F2" s="2"/>
    </row>
    <row r="3" spans="1:15" ht="13.5" thickBot="1">
      <c r="A3" s="2"/>
      <c r="B3" s="2"/>
      <c r="C3" s="2"/>
      <c r="D3" s="3" t="s">
        <v>2</v>
      </c>
      <c r="E3" s="3"/>
      <c r="F3" s="3"/>
      <c r="G3" s="3"/>
      <c r="H3" s="3"/>
      <c r="I3" s="3"/>
      <c r="J3" s="3"/>
      <c r="K3" s="3"/>
      <c r="L3" s="3"/>
      <c r="M3" s="3"/>
      <c r="N3" s="4"/>
      <c r="O3" s="4"/>
    </row>
    <row r="4" spans="3:28" ht="13.5" thickBot="1">
      <c r="C4" s="4" t="s">
        <v>3</v>
      </c>
      <c r="D4" s="4" t="s">
        <v>4</v>
      </c>
      <c r="E4" s="4" t="s">
        <v>5</v>
      </c>
      <c r="F4" s="4" t="s">
        <v>76</v>
      </c>
      <c r="G4" s="4" t="s">
        <v>6</v>
      </c>
      <c r="H4" s="4" t="s">
        <v>66</v>
      </c>
      <c r="I4" s="4"/>
      <c r="J4" s="33" t="s">
        <v>57</v>
      </c>
      <c r="K4" s="33"/>
      <c r="L4" s="4" t="s">
        <v>8</v>
      </c>
      <c r="M4" s="4" t="s">
        <v>73</v>
      </c>
      <c r="N4" s="4" t="s">
        <v>9</v>
      </c>
      <c r="O4" s="4" t="s">
        <v>10</v>
      </c>
      <c r="Q4" s="5" t="s">
        <v>11</v>
      </c>
      <c r="R4" s="6" t="s">
        <v>12</v>
      </c>
      <c r="S4" s="7" t="s">
        <v>13</v>
      </c>
      <c r="T4" s="8" t="s">
        <v>14</v>
      </c>
      <c r="U4" s="9" t="s">
        <v>15</v>
      </c>
      <c r="V4" s="10" t="s">
        <v>16</v>
      </c>
      <c r="W4" s="10" t="s">
        <v>62</v>
      </c>
      <c r="X4" s="10" t="s">
        <v>17</v>
      </c>
      <c r="Y4" s="9" t="s">
        <v>18</v>
      </c>
      <c r="Z4" s="9" t="s">
        <v>19</v>
      </c>
      <c r="AA4" s="9" t="s">
        <v>20</v>
      </c>
      <c r="AB4" s="5" t="s">
        <v>9</v>
      </c>
    </row>
    <row r="5" spans="10:28" ht="12.75">
      <c r="J5" s="4" t="s">
        <v>58</v>
      </c>
      <c r="K5" s="4" t="s">
        <v>59</v>
      </c>
      <c r="R5" s="11"/>
      <c r="S5" s="12"/>
      <c r="T5" s="1"/>
      <c r="U5" s="12"/>
      <c r="V5" s="12"/>
      <c r="W5" s="12"/>
      <c r="X5" s="12"/>
      <c r="Y5" s="1"/>
      <c r="Z5" s="13"/>
      <c r="AA5" s="13"/>
      <c r="AB5" s="13"/>
    </row>
    <row r="6" spans="1:26" ht="12" customHeight="1">
      <c r="A6">
        <v>101</v>
      </c>
      <c r="B6" t="s">
        <v>21</v>
      </c>
      <c r="C6" s="14"/>
      <c r="D6">
        <v>98220</v>
      </c>
      <c r="E6">
        <v>-52000</v>
      </c>
      <c r="I6" s="14" t="s">
        <v>22</v>
      </c>
      <c r="O6">
        <f aca="true" t="shared" si="0" ref="O6:O22">SUM(D6:N6)</f>
        <v>46220</v>
      </c>
      <c r="Q6">
        <f aca="true" t="shared" si="1" ref="Q6:Q22">SUM(R6:S6)</f>
        <v>46220</v>
      </c>
      <c r="R6" s="11">
        <f>O6</f>
        <v>46220</v>
      </c>
      <c r="S6" s="1"/>
      <c r="T6" s="1"/>
      <c r="U6" s="1"/>
      <c r="V6" s="1"/>
      <c r="W6" s="1"/>
      <c r="Z6" s="1"/>
    </row>
    <row r="7" spans="1:27" ht="12" customHeight="1">
      <c r="A7">
        <v>102</v>
      </c>
      <c r="B7" t="s">
        <v>54</v>
      </c>
      <c r="C7" s="14"/>
      <c r="D7">
        <v>50255</v>
      </c>
      <c r="E7">
        <v>-20500</v>
      </c>
      <c r="I7" s="14" t="s">
        <v>22</v>
      </c>
      <c r="J7" s="23">
        <v>152957</v>
      </c>
      <c r="K7">
        <v>37518</v>
      </c>
      <c r="O7">
        <f t="shared" si="0"/>
        <v>220230</v>
      </c>
      <c r="Q7">
        <f t="shared" si="1"/>
        <v>220230</v>
      </c>
      <c r="R7" s="11">
        <f>O7</f>
        <v>220230</v>
      </c>
      <c r="S7" s="1"/>
      <c r="T7" s="1"/>
      <c r="U7" s="1"/>
      <c r="V7" s="1"/>
      <c r="W7" s="1"/>
      <c r="X7" s="1"/>
      <c r="AA7" s="1"/>
    </row>
    <row r="8" spans="1:27" ht="12" customHeight="1">
      <c r="A8">
        <v>103</v>
      </c>
      <c r="B8" t="s">
        <v>24</v>
      </c>
      <c r="C8" s="14"/>
      <c r="D8">
        <v>97850</v>
      </c>
      <c r="E8">
        <v>-55000</v>
      </c>
      <c r="I8" s="14" t="s">
        <v>22</v>
      </c>
      <c r="O8">
        <f t="shared" si="0"/>
        <v>42850</v>
      </c>
      <c r="Q8">
        <f t="shared" si="1"/>
        <v>42850</v>
      </c>
      <c r="R8" s="11">
        <f>O8</f>
        <v>42850</v>
      </c>
      <c r="S8" s="1"/>
      <c r="T8" s="1"/>
      <c r="U8" s="1"/>
      <c r="V8" s="1"/>
      <c r="W8" s="1"/>
      <c r="X8" s="1"/>
      <c r="AA8" s="1"/>
    </row>
    <row r="9" spans="2:27" ht="12" customHeight="1">
      <c r="B9" t="s">
        <v>25</v>
      </c>
      <c r="C9" s="14">
        <v>5084</v>
      </c>
      <c r="D9">
        <v>0</v>
      </c>
      <c r="I9" s="14"/>
      <c r="O9">
        <f t="shared" si="0"/>
        <v>0</v>
      </c>
      <c r="Q9">
        <f t="shared" si="1"/>
        <v>0</v>
      </c>
      <c r="R9" s="11"/>
      <c r="S9" s="1">
        <f>O9</f>
        <v>0</v>
      </c>
      <c r="T9" s="1"/>
      <c r="U9" s="1"/>
      <c r="V9" s="1"/>
      <c r="W9" s="1"/>
      <c r="X9" s="1"/>
      <c r="AA9" s="1"/>
    </row>
    <row r="10" spans="1:27" ht="12" customHeight="1">
      <c r="A10">
        <v>201</v>
      </c>
      <c r="B10" t="s">
        <v>26</v>
      </c>
      <c r="C10" s="22" t="s">
        <v>77</v>
      </c>
      <c r="D10">
        <f>4000+4000+100</f>
        <v>8100</v>
      </c>
      <c r="J10">
        <v>14720</v>
      </c>
      <c r="K10">
        <v>7704</v>
      </c>
      <c r="O10">
        <f t="shared" si="0"/>
        <v>30524</v>
      </c>
      <c r="Q10">
        <f t="shared" si="1"/>
        <v>0</v>
      </c>
      <c r="R10" s="11"/>
      <c r="S10" s="1"/>
      <c r="T10" s="1">
        <f>O10</f>
        <v>30524</v>
      </c>
      <c r="U10" s="1"/>
      <c r="V10" s="1"/>
      <c r="W10" s="1"/>
      <c r="X10" s="1"/>
      <c r="AA10" s="1"/>
    </row>
    <row r="11" spans="1:27" ht="12" customHeight="1">
      <c r="A11">
        <v>202</v>
      </c>
      <c r="B11" t="s">
        <v>28</v>
      </c>
      <c r="C11" s="22" t="s">
        <v>70</v>
      </c>
      <c r="D11">
        <v>1000</v>
      </c>
      <c r="O11">
        <f t="shared" si="0"/>
        <v>1000</v>
      </c>
      <c r="Q11">
        <f t="shared" si="1"/>
        <v>0</v>
      </c>
      <c r="R11" s="11"/>
      <c r="S11" s="1"/>
      <c r="T11" s="1">
        <f>$O11</f>
        <v>1000</v>
      </c>
      <c r="U11" s="1"/>
      <c r="V11" s="1"/>
      <c r="W11" s="1"/>
      <c r="X11" s="1"/>
      <c r="AA11" s="1"/>
    </row>
    <row r="12" spans="1:27" ht="12" customHeight="1">
      <c r="A12">
        <v>206</v>
      </c>
      <c r="B12" t="s">
        <v>30</v>
      </c>
      <c r="C12" s="22" t="s">
        <v>82</v>
      </c>
      <c r="D12">
        <f>25000+5000+6000+7472+2410+60000+30600+10000</f>
        <v>146482</v>
      </c>
      <c r="O12">
        <f t="shared" si="0"/>
        <v>146482</v>
      </c>
      <c r="Q12">
        <f t="shared" si="1"/>
        <v>0</v>
      </c>
      <c r="R12" s="11"/>
      <c r="S12" s="1"/>
      <c r="T12" s="1"/>
      <c r="U12" s="1">
        <f>$O12-W12</f>
        <v>146482</v>
      </c>
      <c r="V12" s="1"/>
      <c r="W12" s="1"/>
      <c r="X12" s="1"/>
      <c r="AA12" s="1"/>
    </row>
    <row r="13" spans="1:24" ht="12" customHeight="1">
      <c r="A13">
        <v>401</v>
      </c>
      <c r="B13" t="s">
        <v>16</v>
      </c>
      <c r="C13" s="22" t="s">
        <v>83</v>
      </c>
      <c r="D13">
        <f>5900+9800+7000+1500+1180+2676</f>
        <v>28056</v>
      </c>
      <c r="J13">
        <v>11463</v>
      </c>
      <c r="K13">
        <v>2565</v>
      </c>
      <c r="O13">
        <f t="shared" si="0"/>
        <v>42084</v>
      </c>
      <c r="Q13">
        <f t="shared" si="1"/>
        <v>0</v>
      </c>
      <c r="R13" s="11"/>
      <c r="S13" s="1"/>
      <c r="T13" s="1"/>
      <c r="U13" s="1"/>
      <c r="V13" s="1">
        <f>$O13</f>
        <v>42084</v>
      </c>
      <c r="W13" s="1"/>
      <c r="X13" s="1"/>
    </row>
    <row r="14" spans="2:24" ht="12" customHeight="1">
      <c r="B14" t="s">
        <v>33</v>
      </c>
      <c r="C14" s="14">
        <v>5087</v>
      </c>
      <c r="D14">
        <v>26700</v>
      </c>
      <c r="O14">
        <f t="shared" si="0"/>
        <v>26700</v>
      </c>
      <c r="Q14">
        <f t="shared" si="1"/>
        <v>0</v>
      </c>
      <c r="R14" s="11"/>
      <c r="S14" s="1"/>
      <c r="T14" s="1"/>
      <c r="U14" s="1"/>
      <c r="V14" s="1"/>
      <c r="W14" s="1"/>
      <c r="X14" s="1">
        <f>$O14</f>
        <v>26700</v>
      </c>
    </row>
    <row r="15" spans="2:24" ht="12" customHeight="1">
      <c r="B15" s="23" t="s">
        <v>71</v>
      </c>
      <c r="C15" s="14">
        <v>9041</v>
      </c>
      <c r="O15">
        <f t="shared" si="0"/>
        <v>0</v>
      </c>
      <c r="Q15">
        <f t="shared" si="1"/>
        <v>0</v>
      </c>
      <c r="R15" s="11"/>
      <c r="S15" s="1"/>
      <c r="T15" s="1"/>
      <c r="U15" s="1"/>
      <c r="V15" s="1"/>
      <c r="W15" s="1">
        <f>$O15</f>
        <v>0</v>
      </c>
      <c r="X15" s="1"/>
    </row>
    <row r="16" spans="2:25" ht="12" customHeight="1">
      <c r="B16" t="s">
        <v>34</v>
      </c>
      <c r="C16" s="14"/>
      <c r="D16">
        <f>673096-SUM(D9:D14)-SUM(D18:D19)</f>
        <v>462058</v>
      </c>
      <c r="E16">
        <v>-100</v>
      </c>
      <c r="J16" s="21">
        <f>-144227-79363-5644</f>
        <v>-229234</v>
      </c>
      <c r="K16">
        <v>-66778</v>
      </c>
      <c r="O16">
        <f t="shared" si="0"/>
        <v>165946</v>
      </c>
      <c r="Q16">
        <f t="shared" si="1"/>
        <v>0</v>
      </c>
      <c r="R16" s="11"/>
      <c r="S16" s="1"/>
      <c r="T16" s="1"/>
      <c r="U16" s="1"/>
      <c r="V16" s="1"/>
      <c r="W16" s="1"/>
      <c r="X16" s="1"/>
      <c r="Y16" s="1">
        <f>$O16</f>
        <v>165946</v>
      </c>
    </row>
    <row r="17" spans="1:25" ht="12" customHeight="1">
      <c r="A17">
        <v>901</v>
      </c>
      <c r="B17" t="s">
        <v>35</v>
      </c>
      <c r="C17" s="14"/>
      <c r="O17">
        <f t="shared" si="0"/>
        <v>0</v>
      </c>
      <c r="Q17">
        <f t="shared" si="1"/>
        <v>0</v>
      </c>
      <c r="R17" s="11"/>
      <c r="S17" s="1"/>
      <c r="T17" s="1"/>
      <c r="U17" s="1"/>
      <c r="V17" s="1"/>
      <c r="W17" s="1"/>
      <c r="X17" s="1"/>
      <c r="Y17" s="1">
        <f>$O17</f>
        <v>0</v>
      </c>
    </row>
    <row r="18" spans="1:26" ht="12" customHeight="1">
      <c r="A18">
        <v>902</v>
      </c>
      <c r="B18" t="s">
        <v>36</v>
      </c>
      <c r="C18" s="14">
        <v>5086</v>
      </c>
      <c r="D18">
        <v>0</v>
      </c>
      <c r="J18">
        <v>38663</v>
      </c>
      <c r="K18">
        <v>13798</v>
      </c>
      <c r="O18">
        <f t="shared" si="0"/>
        <v>52461</v>
      </c>
      <c r="Q18">
        <f t="shared" si="1"/>
        <v>0</v>
      </c>
      <c r="R18" s="11"/>
      <c r="S18" s="1"/>
      <c r="T18" s="1"/>
      <c r="U18" s="1"/>
      <c r="V18" s="1"/>
      <c r="W18" s="1"/>
      <c r="X18" s="1"/>
      <c r="Z18" s="1">
        <f>$O18</f>
        <v>52461</v>
      </c>
    </row>
    <row r="19" spans="1:27" ht="12" customHeight="1">
      <c r="A19">
        <v>903</v>
      </c>
      <c r="B19" t="s">
        <v>20</v>
      </c>
      <c r="C19" s="14">
        <v>5073</v>
      </c>
      <c r="D19">
        <v>700</v>
      </c>
      <c r="J19">
        <v>11431</v>
      </c>
      <c r="K19">
        <v>5193</v>
      </c>
      <c r="O19">
        <f t="shared" si="0"/>
        <v>17324</v>
      </c>
      <c r="Q19">
        <f t="shared" si="1"/>
        <v>0</v>
      </c>
      <c r="R19" s="11"/>
      <c r="S19" s="1"/>
      <c r="T19" s="1"/>
      <c r="U19" s="1"/>
      <c r="V19" s="1"/>
      <c r="W19" s="1"/>
      <c r="X19" s="1"/>
      <c r="AA19" s="1">
        <f>$O19</f>
        <v>17324</v>
      </c>
    </row>
    <row r="20" spans="2:24" ht="12" customHeight="1">
      <c r="B20" t="s">
        <v>37</v>
      </c>
      <c r="C20" s="14"/>
      <c r="D20">
        <f>19300+64625</f>
        <v>83925</v>
      </c>
      <c r="G20">
        <f>-D20</f>
        <v>-83925</v>
      </c>
      <c r="O20">
        <f t="shared" si="0"/>
        <v>0</v>
      </c>
      <c r="Q20">
        <f t="shared" si="1"/>
        <v>0</v>
      </c>
      <c r="R20" s="11"/>
      <c r="S20" s="1"/>
      <c r="T20" s="1"/>
      <c r="U20" s="1"/>
      <c r="V20" s="1"/>
      <c r="W20" s="1"/>
      <c r="X20" s="1"/>
    </row>
    <row r="21" spans="2:24" ht="12" customHeight="1">
      <c r="B21" t="s">
        <v>66</v>
      </c>
      <c r="C21" s="14"/>
      <c r="D21">
        <v>-40000</v>
      </c>
      <c r="H21">
        <f>-D21</f>
        <v>40000</v>
      </c>
      <c r="O21">
        <f t="shared" si="0"/>
        <v>0</v>
      </c>
      <c r="Q21">
        <f t="shared" si="1"/>
        <v>0</v>
      </c>
      <c r="R21" s="11"/>
      <c r="S21" s="1"/>
      <c r="T21" s="1"/>
      <c r="U21" s="1"/>
      <c r="V21" s="1"/>
      <c r="W21" s="1"/>
      <c r="X21" s="1"/>
    </row>
    <row r="22" spans="2:28" ht="12.75">
      <c r="B22" t="s">
        <v>9</v>
      </c>
      <c r="C22" s="14"/>
      <c r="E22">
        <v>-2000</v>
      </c>
      <c r="O22">
        <f t="shared" si="0"/>
        <v>-2000</v>
      </c>
      <c r="Q22">
        <f t="shared" si="1"/>
        <v>0</v>
      </c>
      <c r="R22" s="11"/>
      <c r="S22" s="1"/>
      <c r="T22" s="15"/>
      <c r="U22" s="1"/>
      <c r="V22" s="1"/>
      <c r="W22" s="1"/>
      <c r="X22" s="1"/>
      <c r="AB22" s="1">
        <f>$O22</f>
        <v>-2000</v>
      </c>
    </row>
    <row r="23" spans="4:28" ht="13.5" thickBot="1">
      <c r="D23" s="16">
        <f>SUM(D6:D22)</f>
        <v>963346</v>
      </c>
      <c r="E23" s="16">
        <f>SUM(E6:E22)</f>
        <v>-129600</v>
      </c>
      <c r="F23" s="16">
        <f>SUM(F6:F22)</f>
        <v>0</v>
      </c>
      <c r="G23" s="16">
        <f>SUM(G6:G22)</f>
        <v>-83925</v>
      </c>
      <c r="H23" s="16">
        <f>SUM(H6:H22)</f>
        <v>40000</v>
      </c>
      <c r="I23" s="16"/>
      <c r="J23" s="16">
        <f aca="true" t="shared" si="2" ref="J23:O23">SUM(J6:J22)</f>
        <v>0</v>
      </c>
      <c r="K23" s="16">
        <f t="shared" si="2"/>
        <v>0</v>
      </c>
      <c r="L23" s="16">
        <f t="shared" si="2"/>
        <v>0</v>
      </c>
      <c r="M23" s="16">
        <f t="shared" si="2"/>
        <v>0</v>
      </c>
      <c r="N23" s="16">
        <f t="shared" si="2"/>
        <v>0</v>
      </c>
      <c r="O23" s="16">
        <f t="shared" si="2"/>
        <v>789821</v>
      </c>
      <c r="Q23" s="16">
        <f aca="true" t="shared" si="3" ref="Q23:AB23">SUM(Q5:Q22)</f>
        <v>309300</v>
      </c>
      <c r="R23" s="16">
        <f t="shared" si="3"/>
        <v>309300</v>
      </c>
      <c r="S23" s="16">
        <f t="shared" si="3"/>
        <v>0</v>
      </c>
      <c r="T23" s="17">
        <f t="shared" si="3"/>
        <v>31524</v>
      </c>
      <c r="U23" s="16">
        <f t="shared" si="3"/>
        <v>146482</v>
      </c>
      <c r="V23" s="16">
        <f t="shared" si="3"/>
        <v>42084</v>
      </c>
      <c r="W23" s="16">
        <f t="shared" si="3"/>
        <v>0</v>
      </c>
      <c r="X23" s="16">
        <f t="shared" si="3"/>
        <v>26700</v>
      </c>
      <c r="Y23" s="16">
        <f t="shared" si="3"/>
        <v>165946</v>
      </c>
      <c r="Z23" s="16">
        <f t="shared" si="3"/>
        <v>52461</v>
      </c>
      <c r="AA23" s="16">
        <f t="shared" si="3"/>
        <v>17324</v>
      </c>
      <c r="AB23" s="16">
        <f t="shared" si="3"/>
        <v>-2000</v>
      </c>
    </row>
    <row r="24" spans="17:28" ht="14.25" thickBot="1" thickTop="1">
      <c r="Q24" s="18">
        <f>Q23</f>
        <v>309300</v>
      </c>
      <c r="R24" s="1"/>
      <c r="S24" s="1"/>
      <c r="T24" s="18">
        <f aca="true" t="shared" si="4" ref="T24:Y24">T23</f>
        <v>31524</v>
      </c>
      <c r="U24" s="18">
        <f t="shared" si="4"/>
        <v>146482</v>
      </c>
      <c r="V24" s="18">
        <f t="shared" si="4"/>
        <v>42084</v>
      </c>
      <c r="W24" s="18">
        <f t="shared" si="4"/>
        <v>0</v>
      </c>
      <c r="X24" s="18">
        <f t="shared" si="4"/>
        <v>26700</v>
      </c>
      <c r="Y24" s="18">
        <f t="shared" si="4"/>
        <v>165946</v>
      </c>
      <c r="Z24" s="34">
        <f>Z23+AA23</f>
        <v>69785</v>
      </c>
      <c r="AA24" s="34"/>
      <c r="AB24" s="18">
        <f>AB23</f>
        <v>-2000</v>
      </c>
    </row>
    <row r="25" spans="1:16" ht="14.25" thickBot="1" thickTop="1">
      <c r="A25" t="s">
        <v>39</v>
      </c>
      <c r="D25" s="17">
        <v>792571</v>
      </c>
      <c r="G25" s="1"/>
      <c r="H25" s="1"/>
      <c r="I25" s="1"/>
      <c r="O25" s="17">
        <f>D25</f>
        <v>792571</v>
      </c>
      <c r="P25" s="17">
        <f>SUM(Q24:AB24)</f>
        <v>789821</v>
      </c>
    </row>
    <row r="26" spans="1:14" ht="13.5" thickTop="1">
      <c r="A26" t="s">
        <v>40</v>
      </c>
      <c r="N26" s="1"/>
    </row>
    <row r="27" spans="1:15" ht="13.5" thickBot="1">
      <c r="A27" t="s">
        <v>41</v>
      </c>
      <c r="D27" s="35">
        <f>D23-D25+E23</f>
        <v>41175</v>
      </c>
      <c r="E27" s="35"/>
      <c r="F27" s="24"/>
      <c r="G27" s="17">
        <f>G23</f>
        <v>-83925</v>
      </c>
      <c r="H27" s="17">
        <f>H23</f>
        <v>40000</v>
      </c>
      <c r="I27" s="17"/>
      <c r="J27" s="17">
        <f>J23</f>
        <v>0</v>
      </c>
      <c r="K27" s="17">
        <f>K23</f>
        <v>0</v>
      </c>
      <c r="L27" s="17">
        <f>L23</f>
        <v>0</v>
      </c>
      <c r="M27" s="17">
        <f>M23</f>
        <v>0</v>
      </c>
      <c r="N27" s="17">
        <f>N23</f>
        <v>0</v>
      </c>
      <c r="O27" s="17">
        <f>O23-O25</f>
        <v>-2750</v>
      </c>
    </row>
    <row r="28" spans="12:13" ht="14.25" thickBot="1" thickTop="1">
      <c r="L28" s="36">
        <f>SUM(L27:M27)</f>
        <v>0</v>
      </c>
      <c r="M28" s="36"/>
    </row>
    <row r="29" spans="4:5" ht="14.25" thickBot="1" thickTop="1">
      <c r="D29" s="27">
        <v>1003346</v>
      </c>
      <c r="E29" s="27">
        <f>-E23+D25</f>
        <v>922171</v>
      </c>
    </row>
    <row r="30" spans="1:5" ht="12.75" hidden="1">
      <c r="A30" t="s">
        <v>44</v>
      </c>
      <c r="B30" t="s">
        <v>45</v>
      </c>
      <c r="C30" s="1"/>
      <c r="D30" t="s">
        <v>53</v>
      </c>
      <c r="E30" t="s">
        <v>6</v>
      </c>
    </row>
    <row r="31" spans="1:4" ht="12.75" hidden="1">
      <c r="A31">
        <v>9015</v>
      </c>
      <c r="B31" t="s">
        <v>46</v>
      </c>
      <c r="C31" s="1"/>
      <c r="D31">
        <v>15000</v>
      </c>
    </row>
    <row r="32" spans="2:5" ht="12.75" hidden="1">
      <c r="B32" t="s">
        <v>47</v>
      </c>
      <c r="C32" s="1"/>
      <c r="D32">
        <v>-5000</v>
      </c>
      <c r="E32">
        <v>5000</v>
      </c>
    </row>
    <row r="33" ht="12.75" hidden="1">
      <c r="B33" t="s">
        <v>48</v>
      </c>
    </row>
    <row r="34" spans="1:4" ht="12.75" hidden="1">
      <c r="A34">
        <v>9020</v>
      </c>
      <c r="B34" t="s">
        <v>55</v>
      </c>
      <c r="D34">
        <v>10000</v>
      </c>
    </row>
    <row r="35" spans="1:4" ht="12.75" hidden="1">
      <c r="A35">
        <v>9022</v>
      </c>
      <c r="B35" t="s">
        <v>49</v>
      </c>
      <c r="D35">
        <v>4000</v>
      </c>
    </row>
    <row r="36" spans="1:5" ht="12.75" hidden="1">
      <c r="A36">
        <v>9024</v>
      </c>
      <c r="B36" t="s">
        <v>52</v>
      </c>
      <c r="E36">
        <v>500</v>
      </c>
    </row>
    <row r="37" spans="1:4" ht="12.75" hidden="1">
      <c r="A37">
        <v>9025</v>
      </c>
      <c r="B37" t="s">
        <v>50</v>
      </c>
      <c r="D37">
        <v>500</v>
      </c>
    </row>
    <row r="38" spans="1:4" ht="12.75" hidden="1">
      <c r="A38">
        <v>9026</v>
      </c>
      <c r="B38" t="s">
        <v>54</v>
      </c>
      <c r="D38">
        <v>500</v>
      </c>
    </row>
    <row r="39" spans="1:4" ht="12.75" hidden="1">
      <c r="A39">
        <v>9027</v>
      </c>
      <c r="B39" t="s">
        <v>24</v>
      </c>
      <c r="D39">
        <v>3500</v>
      </c>
    </row>
    <row r="40" spans="1:2" ht="12.75" hidden="1">
      <c r="A40">
        <v>9028</v>
      </c>
      <c r="B40" t="s">
        <v>52</v>
      </c>
    </row>
    <row r="41" spans="1:4" ht="12.75" hidden="1">
      <c r="A41">
        <v>9029</v>
      </c>
      <c r="B41" t="s">
        <v>51</v>
      </c>
      <c r="D41">
        <v>1000</v>
      </c>
    </row>
    <row r="42" spans="1:4" ht="12.75" hidden="1">
      <c r="A42">
        <v>9030</v>
      </c>
      <c r="B42" t="s">
        <v>50</v>
      </c>
      <c r="D42">
        <v>5000</v>
      </c>
    </row>
    <row r="43" spans="1:4" ht="12.75" hidden="1">
      <c r="A43">
        <v>9031</v>
      </c>
      <c r="B43" t="s">
        <v>54</v>
      </c>
      <c r="D43">
        <v>500</v>
      </c>
    </row>
    <row r="44" spans="1:5" ht="12.75" hidden="1">
      <c r="A44">
        <v>9032</v>
      </c>
      <c r="B44" t="s">
        <v>52</v>
      </c>
      <c r="E44">
        <v>1000</v>
      </c>
    </row>
    <row r="45" spans="3:6" ht="12.75" hidden="1">
      <c r="C45" s="19">
        <f>SUM(D45:E45)</f>
        <v>41500</v>
      </c>
      <c r="D45" s="25">
        <f>SUM(D31:D44)</f>
        <v>35000</v>
      </c>
      <c r="E45" s="25">
        <f>SUM(E31:E44)</f>
        <v>6500</v>
      </c>
      <c r="F45" s="1"/>
    </row>
    <row r="46" spans="4:5" ht="12.75">
      <c r="D46" s="26">
        <f>D29-E29</f>
        <v>81175</v>
      </c>
      <c r="E46" s="26"/>
    </row>
    <row r="47" spans="2:4" ht="12.75">
      <c r="B47" s="23" t="s">
        <v>79</v>
      </c>
      <c r="D47">
        <v>-40000</v>
      </c>
    </row>
    <row r="48" spans="2:4" ht="13.5" thickBot="1">
      <c r="B48" s="23" t="s">
        <v>80</v>
      </c>
      <c r="D48" s="16">
        <f>SUM(D46:D47)</f>
        <v>41175</v>
      </c>
    </row>
    <row r="49" ht="13.5" thickTop="1"/>
    <row r="51" spans="25:28" ht="12.75">
      <c r="Y51" s="1"/>
      <c r="Z51" s="1"/>
      <c r="AA51" s="1"/>
      <c r="AB51" s="1"/>
    </row>
    <row r="52" spans="25:28" ht="12.75">
      <c r="Y52" s="1"/>
      <c r="Z52" s="1"/>
      <c r="AA52" s="1"/>
      <c r="AB52" s="1"/>
    </row>
    <row r="53" spans="25:28" ht="12.75">
      <c r="Y53" s="1"/>
      <c r="Z53" s="1"/>
      <c r="AA53" s="1"/>
      <c r="AB53" s="1"/>
    </row>
  </sheetData>
  <sheetProtection/>
  <mergeCells count="4">
    <mergeCell ref="J4:K4"/>
    <mergeCell ref="Z24:AA24"/>
    <mergeCell ref="D27:E27"/>
    <mergeCell ref="L28:M28"/>
  </mergeCells>
  <printOptions/>
  <pageMargins left="0.1968503937007874" right="0.2362204724409449" top="0.2755905511811024" bottom="0.6299212598425197" header="0.1968503937007874" footer="0.2362204724409449"/>
  <pageSetup fitToWidth="2" horizontalDpi="300" verticalDpi="300" orientation="landscape" paperSize="9" scale="87" r:id="rId1"/>
  <headerFooter alignWithMargins="0">
    <oddFooter>&amp;LPrepared by:
Accounting Solutions
&amp;"Arial,Italic"&amp;8from&amp;"Arial,Regular"&amp;10 DCK Beavers Ltd&amp;CFor:
Bradley Stoke Town Council&amp;R&amp;T
&amp;D</oddFooter>
  </headerFooter>
  <colBreaks count="1" manualBreakCount="1"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B53"/>
  <sheetViews>
    <sheetView zoomScalePageLayoutView="0" workbookViewId="0" topLeftCell="A1">
      <selection activeCell="Z19" sqref="Z19"/>
    </sheetView>
  </sheetViews>
  <sheetFormatPr defaultColWidth="9.140625" defaultRowHeight="12.75"/>
  <cols>
    <col min="1" max="1" width="6.421875" style="0" customWidth="1"/>
    <col min="2" max="2" width="23.140625" style="0" customWidth="1"/>
    <col min="3" max="3" width="14.28125" style="0" customWidth="1"/>
    <col min="4" max="4" width="9.28125" style="0" bestFit="1" customWidth="1"/>
    <col min="5" max="6" width="9.00390625" style="0" customWidth="1"/>
    <col min="7" max="8" width="10.57421875" style="0" customWidth="1"/>
    <col min="9" max="9" width="3.8515625" style="0" customWidth="1"/>
    <col min="10" max="10" width="9.421875" style="0" bestFit="1" customWidth="1"/>
    <col min="11" max="12" width="9.28125" style="0" bestFit="1" customWidth="1"/>
    <col min="13" max="13" width="9.28125" style="0" customWidth="1"/>
    <col min="14" max="15" width="9.28125" style="0" bestFit="1" customWidth="1"/>
    <col min="16" max="16" width="8.7109375" style="0" bestFit="1" customWidth="1"/>
    <col min="17" max="17" width="8.7109375" style="0" customWidth="1"/>
    <col min="18" max="18" width="11.00390625" style="0" bestFit="1" customWidth="1"/>
    <col min="19" max="19" width="9.7109375" style="0" bestFit="1" customWidth="1"/>
    <col min="20" max="21" width="10.8515625" style="0" bestFit="1" customWidth="1"/>
    <col min="22" max="22" width="6.57421875" style="0" bestFit="1" customWidth="1"/>
    <col min="23" max="23" width="6.57421875" style="0" customWidth="1"/>
    <col min="24" max="24" width="8.00390625" style="0" bestFit="1" customWidth="1"/>
    <col min="26" max="26" width="6.28125" style="0" customWidth="1"/>
    <col min="27" max="27" width="6.00390625" style="0" bestFit="1" customWidth="1"/>
    <col min="28" max="28" width="7.7109375" style="0" customWidth="1"/>
  </cols>
  <sheetData>
    <row r="1" spans="1:18" ht="12.75">
      <c r="A1" s="2" t="s">
        <v>0</v>
      </c>
      <c r="E1" s="2" t="s">
        <v>75</v>
      </c>
      <c r="F1" s="2"/>
      <c r="R1" s="2" t="s">
        <v>72</v>
      </c>
    </row>
    <row r="2" spans="1:6" ht="12.75">
      <c r="A2" s="2"/>
      <c r="E2" s="2"/>
      <c r="F2" s="2"/>
    </row>
    <row r="3" spans="1:15" ht="13.5" thickBot="1">
      <c r="A3" s="2"/>
      <c r="B3" s="2"/>
      <c r="C3" s="2"/>
      <c r="D3" s="3" t="s">
        <v>2</v>
      </c>
      <c r="E3" s="3"/>
      <c r="F3" s="3"/>
      <c r="G3" s="3"/>
      <c r="H3" s="3"/>
      <c r="I3" s="3"/>
      <c r="J3" s="3"/>
      <c r="K3" s="3"/>
      <c r="L3" s="3"/>
      <c r="M3" s="3"/>
      <c r="N3" s="4"/>
      <c r="O3" s="4"/>
    </row>
    <row r="4" spans="3:28" ht="13.5" thickBot="1">
      <c r="C4" s="4" t="s">
        <v>3</v>
      </c>
      <c r="D4" s="4" t="s">
        <v>4</v>
      </c>
      <c r="E4" s="4" t="s">
        <v>5</v>
      </c>
      <c r="F4" s="4" t="s">
        <v>76</v>
      </c>
      <c r="G4" s="4" t="s">
        <v>6</v>
      </c>
      <c r="H4" s="4" t="s">
        <v>66</v>
      </c>
      <c r="I4" s="4"/>
      <c r="J4" s="33" t="s">
        <v>57</v>
      </c>
      <c r="K4" s="33"/>
      <c r="L4" s="4" t="s">
        <v>8</v>
      </c>
      <c r="M4" s="4" t="s">
        <v>73</v>
      </c>
      <c r="N4" s="4" t="s">
        <v>9</v>
      </c>
      <c r="O4" s="4" t="s">
        <v>10</v>
      </c>
      <c r="Q4" s="5" t="s">
        <v>11</v>
      </c>
      <c r="R4" s="6" t="s">
        <v>12</v>
      </c>
      <c r="S4" s="7" t="s">
        <v>13</v>
      </c>
      <c r="T4" s="8" t="s">
        <v>14</v>
      </c>
      <c r="U4" s="9" t="s">
        <v>15</v>
      </c>
      <c r="V4" s="10" t="s">
        <v>16</v>
      </c>
      <c r="W4" s="10" t="s">
        <v>62</v>
      </c>
      <c r="X4" s="10" t="s">
        <v>17</v>
      </c>
      <c r="Y4" s="9" t="s">
        <v>18</v>
      </c>
      <c r="Z4" s="9" t="s">
        <v>19</v>
      </c>
      <c r="AA4" s="9" t="s">
        <v>20</v>
      </c>
      <c r="AB4" s="5" t="s">
        <v>9</v>
      </c>
    </row>
    <row r="5" spans="10:28" ht="12.75">
      <c r="J5" s="4" t="s">
        <v>58</v>
      </c>
      <c r="K5" s="4" t="s">
        <v>59</v>
      </c>
      <c r="R5" s="11"/>
      <c r="S5" s="12"/>
      <c r="T5" s="1"/>
      <c r="U5" s="12"/>
      <c r="V5" s="12"/>
      <c r="W5" s="12"/>
      <c r="X5" s="12"/>
      <c r="Y5" s="1"/>
      <c r="Z5" s="13"/>
      <c r="AA5" s="13"/>
      <c r="AB5" s="13"/>
    </row>
    <row r="6" spans="1:26" ht="12" customHeight="1">
      <c r="A6">
        <v>101</v>
      </c>
      <c r="B6" t="s">
        <v>21</v>
      </c>
      <c r="C6" s="14"/>
      <c r="D6">
        <v>99350</v>
      </c>
      <c r="E6">
        <v>-67626</v>
      </c>
      <c r="I6" s="14" t="s">
        <v>22</v>
      </c>
      <c r="O6">
        <f aca="true" t="shared" si="0" ref="O6:O22">SUM(D6:N6)</f>
        <v>31724</v>
      </c>
      <c r="Q6">
        <f aca="true" t="shared" si="1" ref="Q6:Q22">SUM(R6:S6)</f>
        <v>31724</v>
      </c>
      <c r="R6" s="11">
        <f>O6</f>
        <v>31724</v>
      </c>
      <c r="S6" s="1"/>
      <c r="T6" s="1"/>
      <c r="U6" s="1"/>
      <c r="V6" s="1"/>
      <c r="W6" s="1"/>
      <c r="Z6" s="1"/>
    </row>
    <row r="7" spans="1:27" ht="12" customHeight="1">
      <c r="A7">
        <v>102</v>
      </c>
      <c r="B7" t="s">
        <v>54</v>
      </c>
      <c r="C7" s="14"/>
      <c r="D7">
        <v>40945</v>
      </c>
      <c r="E7">
        <v>-1700</v>
      </c>
      <c r="I7" s="14" t="s">
        <v>22</v>
      </c>
      <c r="J7" s="23">
        <v>137192</v>
      </c>
      <c r="K7">
        <v>51865</v>
      </c>
      <c r="O7">
        <f t="shared" si="0"/>
        <v>228302</v>
      </c>
      <c r="Q7">
        <f t="shared" si="1"/>
        <v>228302</v>
      </c>
      <c r="R7" s="11">
        <f>O7</f>
        <v>228302</v>
      </c>
      <c r="S7" s="1"/>
      <c r="T7" s="1"/>
      <c r="U7" s="1"/>
      <c r="V7" s="1"/>
      <c r="W7" s="1"/>
      <c r="X7" s="1"/>
      <c r="AA7" s="1"/>
    </row>
    <row r="8" spans="1:27" ht="12" customHeight="1">
      <c r="A8">
        <v>103</v>
      </c>
      <c r="B8" t="s">
        <v>24</v>
      </c>
      <c r="C8" s="14"/>
      <c r="D8">
        <v>106125</v>
      </c>
      <c r="E8">
        <v>-55000</v>
      </c>
      <c r="I8" s="14" t="s">
        <v>22</v>
      </c>
      <c r="O8">
        <f t="shared" si="0"/>
        <v>51125</v>
      </c>
      <c r="Q8">
        <f t="shared" si="1"/>
        <v>51125</v>
      </c>
      <c r="R8" s="11">
        <f>O8</f>
        <v>51125</v>
      </c>
      <c r="S8" s="1"/>
      <c r="T8" s="1"/>
      <c r="U8" s="1"/>
      <c r="V8" s="1"/>
      <c r="W8" s="1"/>
      <c r="X8" s="1"/>
      <c r="AA8" s="1"/>
    </row>
    <row r="9" spans="2:27" ht="12" customHeight="1">
      <c r="B9" t="s">
        <v>25</v>
      </c>
      <c r="C9" s="14">
        <v>5084</v>
      </c>
      <c r="D9">
        <v>0</v>
      </c>
      <c r="I9" s="14"/>
      <c r="O9">
        <f t="shared" si="0"/>
        <v>0</v>
      </c>
      <c r="Q9">
        <f t="shared" si="1"/>
        <v>0</v>
      </c>
      <c r="R9" s="11"/>
      <c r="S9" s="1">
        <f>O9</f>
        <v>0</v>
      </c>
      <c r="T9" s="1"/>
      <c r="U9" s="1"/>
      <c r="V9" s="1"/>
      <c r="W9" s="1"/>
      <c r="X9" s="1"/>
      <c r="AA9" s="1"/>
    </row>
    <row r="10" spans="1:27" ht="12" customHeight="1">
      <c r="A10">
        <v>201</v>
      </c>
      <c r="B10" t="s">
        <v>26</v>
      </c>
      <c r="C10" s="22" t="s">
        <v>77</v>
      </c>
      <c r="D10">
        <f>2800+4000+100+8470</f>
        <v>15370</v>
      </c>
      <c r="J10">
        <v>14414</v>
      </c>
      <c r="K10">
        <v>10469</v>
      </c>
      <c r="O10">
        <f t="shared" si="0"/>
        <v>40253</v>
      </c>
      <c r="Q10">
        <f t="shared" si="1"/>
        <v>0</v>
      </c>
      <c r="R10" s="11"/>
      <c r="S10" s="1"/>
      <c r="T10" s="1">
        <f>O10</f>
        <v>40253</v>
      </c>
      <c r="U10" s="1"/>
      <c r="V10" s="1"/>
      <c r="W10" s="1"/>
      <c r="X10" s="1"/>
      <c r="AA10" s="1"/>
    </row>
    <row r="11" spans="1:27" ht="12" customHeight="1">
      <c r="A11">
        <v>202</v>
      </c>
      <c r="B11" t="s">
        <v>28</v>
      </c>
      <c r="C11" s="22" t="s">
        <v>70</v>
      </c>
      <c r="D11">
        <f>1600</f>
        <v>1600</v>
      </c>
      <c r="O11">
        <f t="shared" si="0"/>
        <v>1600</v>
      </c>
      <c r="Q11">
        <f t="shared" si="1"/>
        <v>0</v>
      </c>
      <c r="R11" s="11"/>
      <c r="S11" s="1"/>
      <c r="T11" s="1">
        <f>$O11</f>
        <v>1600</v>
      </c>
      <c r="U11" s="1"/>
      <c r="V11" s="1"/>
      <c r="W11" s="1"/>
      <c r="X11" s="1"/>
      <c r="AA11" s="1"/>
    </row>
    <row r="12" spans="1:27" ht="12" customHeight="1">
      <c r="A12">
        <v>206</v>
      </c>
      <c r="B12" t="s">
        <v>30</v>
      </c>
      <c r="C12" s="22" t="s">
        <v>78</v>
      </c>
      <c r="D12">
        <f>33725+6000+11850+61500+30750+7280</f>
        <v>151105</v>
      </c>
      <c r="O12">
        <f t="shared" si="0"/>
        <v>151105</v>
      </c>
      <c r="Q12">
        <f t="shared" si="1"/>
        <v>0</v>
      </c>
      <c r="R12" s="11"/>
      <c r="S12" s="1"/>
      <c r="T12" s="1"/>
      <c r="U12" s="1">
        <f>$O12-W12</f>
        <v>151105</v>
      </c>
      <c r="V12" s="1"/>
      <c r="W12" s="1"/>
      <c r="X12" s="1"/>
      <c r="AA12" s="1"/>
    </row>
    <row r="13" spans="1:24" ht="12" customHeight="1">
      <c r="A13">
        <v>401</v>
      </c>
      <c r="B13" t="s">
        <v>16</v>
      </c>
      <c r="C13" s="14" t="s">
        <v>32</v>
      </c>
      <c r="D13">
        <f>5040+9800+700+3000</f>
        <v>18540</v>
      </c>
      <c r="J13">
        <v>12123</v>
      </c>
      <c r="K13">
        <v>3486</v>
      </c>
      <c r="O13">
        <f t="shared" si="0"/>
        <v>34149</v>
      </c>
      <c r="Q13">
        <f t="shared" si="1"/>
        <v>0</v>
      </c>
      <c r="R13" s="11"/>
      <c r="S13" s="1"/>
      <c r="T13" s="1"/>
      <c r="U13" s="1"/>
      <c r="V13" s="1">
        <f>$O13</f>
        <v>34149</v>
      </c>
      <c r="W13" s="1"/>
      <c r="X13" s="1"/>
    </row>
    <row r="14" spans="2:24" ht="12" customHeight="1">
      <c r="B14" t="s">
        <v>33</v>
      </c>
      <c r="C14" s="14">
        <v>5087</v>
      </c>
      <c r="D14">
        <v>31800</v>
      </c>
      <c r="O14">
        <f t="shared" si="0"/>
        <v>31800</v>
      </c>
      <c r="Q14">
        <f t="shared" si="1"/>
        <v>0</v>
      </c>
      <c r="R14" s="11"/>
      <c r="S14" s="1"/>
      <c r="T14" s="1"/>
      <c r="U14" s="1"/>
      <c r="V14" s="1"/>
      <c r="W14" s="1"/>
      <c r="X14" s="1">
        <f>$O14</f>
        <v>31800</v>
      </c>
    </row>
    <row r="15" spans="2:24" ht="12" customHeight="1">
      <c r="B15" s="23" t="s">
        <v>71</v>
      </c>
      <c r="C15" s="14">
        <v>9041</v>
      </c>
      <c r="O15">
        <f t="shared" si="0"/>
        <v>0</v>
      </c>
      <c r="Q15">
        <f t="shared" si="1"/>
        <v>0</v>
      </c>
      <c r="R15" s="11"/>
      <c r="S15" s="1"/>
      <c r="T15" s="1"/>
      <c r="U15" s="1"/>
      <c r="V15" s="1"/>
      <c r="W15" s="1">
        <f>$O15</f>
        <v>0</v>
      </c>
      <c r="X15" s="1"/>
    </row>
    <row r="16" spans="2:25" ht="12" customHeight="1">
      <c r="B16" t="s">
        <v>34</v>
      </c>
      <c r="C16" s="14"/>
      <c r="D16">
        <f>722577-SUM(D9:D14)-SUM(D18:D19)</f>
        <v>479244</v>
      </c>
      <c r="E16">
        <v>-200</v>
      </c>
      <c r="J16" s="21">
        <f>-141905-63548-6553</f>
        <v>-212006</v>
      </c>
      <c r="K16">
        <v>-90727</v>
      </c>
      <c r="O16">
        <f t="shared" si="0"/>
        <v>176311</v>
      </c>
      <c r="Q16">
        <f t="shared" si="1"/>
        <v>0</v>
      </c>
      <c r="R16" s="11"/>
      <c r="S16" s="1"/>
      <c r="T16" s="1"/>
      <c r="U16" s="1"/>
      <c r="V16" s="1"/>
      <c r="W16" s="1"/>
      <c r="X16" s="1"/>
      <c r="Y16" s="1">
        <f>$O16</f>
        <v>176311</v>
      </c>
    </row>
    <row r="17" spans="1:25" ht="12" customHeight="1">
      <c r="A17">
        <v>901</v>
      </c>
      <c r="B17" t="s">
        <v>35</v>
      </c>
      <c r="C17" s="14"/>
      <c r="O17">
        <f t="shared" si="0"/>
        <v>0</v>
      </c>
      <c r="Q17">
        <f t="shared" si="1"/>
        <v>0</v>
      </c>
      <c r="R17" s="11"/>
      <c r="S17" s="1"/>
      <c r="T17" s="1"/>
      <c r="U17" s="1"/>
      <c r="V17" s="1"/>
      <c r="W17" s="1"/>
      <c r="X17" s="1"/>
      <c r="Y17" s="1">
        <f>$O17</f>
        <v>0</v>
      </c>
    </row>
    <row r="18" spans="1:26" ht="12" customHeight="1">
      <c r="A18">
        <v>902</v>
      </c>
      <c r="B18" t="s">
        <v>36</v>
      </c>
      <c r="C18" s="14">
        <v>5086</v>
      </c>
      <c r="D18">
        <v>24218</v>
      </c>
      <c r="J18">
        <v>37462</v>
      </c>
      <c r="K18">
        <v>18306</v>
      </c>
      <c r="O18">
        <f t="shared" si="0"/>
        <v>79986</v>
      </c>
      <c r="Q18">
        <f t="shared" si="1"/>
        <v>0</v>
      </c>
      <c r="R18" s="11"/>
      <c r="S18" s="1"/>
      <c r="T18" s="1"/>
      <c r="U18" s="1"/>
      <c r="V18" s="1"/>
      <c r="W18" s="1"/>
      <c r="X18" s="1"/>
      <c r="Z18" s="1">
        <f>$O18</f>
        <v>79986</v>
      </c>
    </row>
    <row r="19" spans="1:27" ht="12" customHeight="1">
      <c r="A19">
        <v>903</v>
      </c>
      <c r="B19" t="s">
        <v>20</v>
      </c>
      <c r="C19" s="14">
        <v>5073</v>
      </c>
      <c r="D19">
        <v>700</v>
      </c>
      <c r="J19">
        <v>10815</v>
      </c>
      <c r="K19">
        <v>6601</v>
      </c>
      <c r="O19">
        <f t="shared" si="0"/>
        <v>18116</v>
      </c>
      <c r="Q19">
        <f t="shared" si="1"/>
        <v>0</v>
      </c>
      <c r="R19" s="11"/>
      <c r="S19" s="1"/>
      <c r="T19" s="1"/>
      <c r="U19" s="1"/>
      <c r="V19" s="1"/>
      <c r="W19" s="1"/>
      <c r="X19" s="1"/>
      <c r="AA19" s="1">
        <f>$O19</f>
        <v>18116</v>
      </c>
    </row>
    <row r="20" spans="2:24" ht="12" customHeight="1">
      <c r="B20" t="s">
        <v>37</v>
      </c>
      <c r="C20" s="14"/>
      <c r="D20">
        <v>13100</v>
      </c>
      <c r="G20">
        <f>-D20</f>
        <v>-13100</v>
      </c>
      <c r="O20">
        <f t="shared" si="0"/>
        <v>0</v>
      </c>
      <c r="Q20">
        <f t="shared" si="1"/>
        <v>0</v>
      </c>
      <c r="R20" s="11"/>
      <c r="S20" s="1"/>
      <c r="T20" s="1"/>
      <c r="U20" s="1"/>
      <c r="V20" s="1"/>
      <c r="W20" s="1"/>
      <c r="X20" s="1"/>
    </row>
    <row r="21" spans="2:24" ht="12" customHeight="1">
      <c r="B21" t="s">
        <v>66</v>
      </c>
      <c r="C21" s="14"/>
      <c r="D21">
        <v>-44000</v>
      </c>
      <c r="H21">
        <f>-D21</f>
        <v>44000</v>
      </c>
      <c r="O21">
        <f t="shared" si="0"/>
        <v>0</v>
      </c>
      <c r="Q21">
        <f t="shared" si="1"/>
        <v>0</v>
      </c>
      <c r="R21" s="11"/>
      <c r="S21" s="1"/>
      <c r="T21" s="1"/>
      <c r="U21" s="1"/>
      <c r="V21" s="1"/>
      <c r="W21" s="1"/>
      <c r="X21" s="1"/>
    </row>
    <row r="22" spans="2:28" ht="12.75">
      <c r="B22" t="s">
        <v>9</v>
      </c>
      <c r="C22" s="14"/>
      <c r="E22">
        <v>-1700</v>
      </c>
      <c r="O22">
        <f t="shared" si="0"/>
        <v>-1700</v>
      </c>
      <c r="Q22">
        <f t="shared" si="1"/>
        <v>0</v>
      </c>
      <c r="R22" s="11"/>
      <c r="S22" s="1"/>
      <c r="T22" s="15"/>
      <c r="U22" s="1"/>
      <c r="V22" s="1"/>
      <c r="W22" s="1"/>
      <c r="X22" s="1"/>
      <c r="AB22" s="1">
        <f>$O22</f>
        <v>-1700</v>
      </c>
    </row>
    <row r="23" spans="4:28" ht="13.5" thickBot="1">
      <c r="D23" s="16">
        <f>SUM(D6:D22)</f>
        <v>938097</v>
      </c>
      <c r="E23" s="16">
        <f>SUM(E6:E22)</f>
        <v>-126226</v>
      </c>
      <c r="F23" s="16">
        <f>SUM(F6:F22)</f>
        <v>0</v>
      </c>
      <c r="G23" s="16">
        <f>SUM(G6:G22)</f>
        <v>-13100</v>
      </c>
      <c r="H23" s="16">
        <f>SUM(H6:H22)</f>
        <v>44000</v>
      </c>
      <c r="I23" s="16"/>
      <c r="J23" s="16">
        <f aca="true" t="shared" si="2" ref="J23:O23">SUM(J6:J22)</f>
        <v>0</v>
      </c>
      <c r="K23" s="16">
        <f t="shared" si="2"/>
        <v>0</v>
      </c>
      <c r="L23" s="16">
        <f t="shared" si="2"/>
        <v>0</v>
      </c>
      <c r="M23" s="16">
        <f t="shared" si="2"/>
        <v>0</v>
      </c>
      <c r="N23" s="16">
        <f t="shared" si="2"/>
        <v>0</v>
      </c>
      <c r="O23" s="16">
        <f t="shared" si="2"/>
        <v>842771</v>
      </c>
      <c r="Q23" s="16">
        <f aca="true" t="shared" si="3" ref="Q23:AB23">SUM(Q5:Q22)</f>
        <v>311151</v>
      </c>
      <c r="R23" s="16">
        <f t="shared" si="3"/>
        <v>311151</v>
      </c>
      <c r="S23" s="16">
        <f t="shared" si="3"/>
        <v>0</v>
      </c>
      <c r="T23" s="17">
        <f t="shared" si="3"/>
        <v>41853</v>
      </c>
      <c r="U23" s="16">
        <f t="shared" si="3"/>
        <v>151105</v>
      </c>
      <c r="V23" s="16">
        <f t="shared" si="3"/>
        <v>34149</v>
      </c>
      <c r="W23" s="16">
        <f t="shared" si="3"/>
        <v>0</v>
      </c>
      <c r="X23" s="16">
        <f t="shared" si="3"/>
        <v>31800</v>
      </c>
      <c r="Y23" s="16">
        <f t="shared" si="3"/>
        <v>176311</v>
      </c>
      <c r="Z23" s="16">
        <f t="shared" si="3"/>
        <v>79986</v>
      </c>
      <c r="AA23" s="16">
        <f t="shared" si="3"/>
        <v>18116</v>
      </c>
      <c r="AB23" s="16">
        <f t="shared" si="3"/>
        <v>-1700</v>
      </c>
    </row>
    <row r="24" spans="17:28" ht="14.25" thickBot="1" thickTop="1">
      <c r="Q24" s="18">
        <f>Q23</f>
        <v>311151</v>
      </c>
      <c r="R24" s="1"/>
      <c r="S24" s="1"/>
      <c r="T24" s="18">
        <f aca="true" t="shared" si="4" ref="T24:Y24">T23</f>
        <v>41853</v>
      </c>
      <c r="U24" s="18">
        <f t="shared" si="4"/>
        <v>151105</v>
      </c>
      <c r="V24" s="18">
        <f t="shared" si="4"/>
        <v>34149</v>
      </c>
      <c r="W24" s="18">
        <f t="shared" si="4"/>
        <v>0</v>
      </c>
      <c r="X24" s="18">
        <f t="shared" si="4"/>
        <v>31800</v>
      </c>
      <c r="Y24" s="18">
        <f t="shared" si="4"/>
        <v>176311</v>
      </c>
      <c r="Z24" s="34">
        <f>Z23+AA23</f>
        <v>98102</v>
      </c>
      <c r="AA24" s="34"/>
      <c r="AB24" s="18">
        <f>AB23</f>
        <v>-1700</v>
      </c>
    </row>
    <row r="25" spans="1:16" ht="14.25" thickBot="1" thickTop="1">
      <c r="A25" t="s">
        <v>39</v>
      </c>
      <c r="D25" s="17">
        <v>792797</v>
      </c>
      <c r="G25" s="1"/>
      <c r="H25" s="1"/>
      <c r="I25" s="1"/>
      <c r="O25" s="17">
        <f>D25</f>
        <v>792797</v>
      </c>
      <c r="P25" s="17">
        <f>SUM(Q24:AB24)</f>
        <v>842771</v>
      </c>
    </row>
    <row r="26" spans="1:14" ht="13.5" thickTop="1">
      <c r="A26" t="s">
        <v>40</v>
      </c>
      <c r="N26" s="1"/>
    </row>
    <row r="27" spans="1:15" ht="13.5" thickBot="1">
      <c r="A27" t="s">
        <v>41</v>
      </c>
      <c r="D27" s="35">
        <f>D23-D25+E23</f>
        <v>19074</v>
      </c>
      <c r="E27" s="35"/>
      <c r="F27" s="24"/>
      <c r="G27" s="17">
        <f>G23</f>
        <v>-13100</v>
      </c>
      <c r="H27" s="17">
        <f>H23</f>
        <v>44000</v>
      </c>
      <c r="I27" s="17"/>
      <c r="J27" s="17">
        <f>J23</f>
        <v>0</v>
      </c>
      <c r="K27" s="17">
        <f>K23</f>
        <v>0</v>
      </c>
      <c r="L27" s="17">
        <f>L23</f>
        <v>0</v>
      </c>
      <c r="M27" s="17">
        <f>M23</f>
        <v>0</v>
      </c>
      <c r="N27" s="17">
        <f>N23</f>
        <v>0</v>
      </c>
      <c r="O27" s="17">
        <f>O23-O25</f>
        <v>49974</v>
      </c>
    </row>
    <row r="28" spans="10:13" ht="14.25" thickBot="1" thickTop="1">
      <c r="J28" s="37" t="s">
        <v>84</v>
      </c>
      <c r="K28" s="37"/>
      <c r="L28" s="36">
        <f>SUM(L27:M27)</f>
        <v>0</v>
      </c>
      <c r="M28" s="36"/>
    </row>
    <row r="29" spans="4:5" ht="14.25" thickBot="1" thickTop="1">
      <c r="D29" s="27">
        <v>982097</v>
      </c>
      <c r="E29" s="27">
        <f>126226+792797</f>
        <v>919023</v>
      </c>
    </row>
    <row r="30" spans="1:5" ht="12.75" hidden="1">
      <c r="A30" t="s">
        <v>44</v>
      </c>
      <c r="B30" t="s">
        <v>45</v>
      </c>
      <c r="C30" s="1"/>
      <c r="D30" t="s">
        <v>53</v>
      </c>
      <c r="E30" t="s">
        <v>6</v>
      </c>
    </row>
    <row r="31" spans="1:4" ht="12.75" hidden="1">
      <c r="A31">
        <v>9015</v>
      </c>
      <c r="B31" t="s">
        <v>46</v>
      </c>
      <c r="C31" s="1"/>
      <c r="D31">
        <v>15000</v>
      </c>
    </row>
    <row r="32" spans="2:5" ht="12.75" hidden="1">
      <c r="B32" t="s">
        <v>47</v>
      </c>
      <c r="C32" s="1"/>
      <c r="D32">
        <v>-5000</v>
      </c>
      <c r="E32">
        <v>5000</v>
      </c>
    </row>
    <row r="33" ht="12.75" hidden="1">
      <c r="B33" t="s">
        <v>48</v>
      </c>
    </row>
    <row r="34" spans="1:4" ht="12.75" hidden="1">
      <c r="A34">
        <v>9020</v>
      </c>
      <c r="B34" t="s">
        <v>55</v>
      </c>
      <c r="D34">
        <v>10000</v>
      </c>
    </row>
    <row r="35" spans="1:4" ht="12.75" hidden="1">
      <c r="A35">
        <v>9022</v>
      </c>
      <c r="B35" t="s">
        <v>49</v>
      </c>
      <c r="D35">
        <v>4000</v>
      </c>
    </row>
    <row r="36" spans="1:5" ht="12.75" hidden="1">
      <c r="A36">
        <v>9024</v>
      </c>
      <c r="B36" t="s">
        <v>52</v>
      </c>
      <c r="E36">
        <v>500</v>
      </c>
    </row>
    <row r="37" spans="1:4" ht="12.75" hidden="1">
      <c r="A37">
        <v>9025</v>
      </c>
      <c r="B37" t="s">
        <v>50</v>
      </c>
      <c r="D37">
        <v>500</v>
      </c>
    </row>
    <row r="38" spans="1:4" ht="12.75" hidden="1">
      <c r="A38">
        <v>9026</v>
      </c>
      <c r="B38" t="s">
        <v>54</v>
      </c>
      <c r="D38">
        <v>500</v>
      </c>
    </row>
    <row r="39" spans="1:4" ht="12.75" hidden="1">
      <c r="A39">
        <v>9027</v>
      </c>
      <c r="B39" t="s">
        <v>24</v>
      </c>
      <c r="D39">
        <v>3500</v>
      </c>
    </row>
    <row r="40" spans="1:2" ht="12.75" hidden="1">
      <c r="A40">
        <v>9028</v>
      </c>
      <c r="B40" t="s">
        <v>52</v>
      </c>
    </row>
    <row r="41" spans="1:4" ht="12.75" hidden="1">
      <c r="A41">
        <v>9029</v>
      </c>
      <c r="B41" t="s">
        <v>51</v>
      </c>
      <c r="D41">
        <v>1000</v>
      </c>
    </row>
    <row r="42" spans="1:4" ht="12.75" hidden="1">
      <c r="A42">
        <v>9030</v>
      </c>
      <c r="B42" t="s">
        <v>50</v>
      </c>
      <c r="D42">
        <v>5000</v>
      </c>
    </row>
    <row r="43" spans="1:4" ht="12.75" hidden="1">
      <c r="A43">
        <v>9031</v>
      </c>
      <c r="B43" t="s">
        <v>54</v>
      </c>
      <c r="D43">
        <v>500</v>
      </c>
    </row>
    <row r="44" spans="1:5" ht="12.75" hidden="1">
      <c r="A44">
        <v>9032</v>
      </c>
      <c r="B44" t="s">
        <v>52</v>
      </c>
      <c r="E44">
        <v>1000</v>
      </c>
    </row>
    <row r="45" spans="3:6" ht="12.75" hidden="1">
      <c r="C45" s="19">
        <f>SUM(D45:E45)</f>
        <v>41500</v>
      </c>
      <c r="D45" s="25">
        <f>SUM(D31:D44)</f>
        <v>35000</v>
      </c>
      <c r="E45" s="25">
        <f>SUM(E31:E44)</f>
        <v>6500</v>
      </c>
      <c r="F45" s="1"/>
    </row>
    <row r="46" spans="4:5" ht="12.75">
      <c r="D46" s="26">
        <f>D29-E29</f>
        <v>63074</v>
      </c>
      <c r="E46" s="26"/>
    </row>
    <row r="47" spans="2:4" ht="12.75">
      <c r="B47" s="23" t="s">
        <v>79</v>
      </c>
      <c r="D47">
        <v>-44000</v>
      </c>
    </row>
    <row r="48" spans="2:4" ht="13.5" thickBot="1">
      <c r="B48" s="23" t="s">
        <v>80</v>
      </c>
      <c r="D48" s="16">
        <f>SUM(D46:D47)</f>
        <v>19074</v>
      </c>
    </row>
    <row r="49" ht="13.5" thickTop="1"/>
    <row r="51" spans="25:28" ht="12.75">
      <c r="Y51" s="1"/>
      <c r="Z51" s="1"/>
      <c r="AA51" s="1"/>
      <c r="AB51" s="1"/>
    </row>
    <row r="52" spans="25:28" ht="12.75">
      <c r="Y52" s="1"/>
      <c r="Z52" s="1"/>
      <c r="AA52" s="1"/>
      <c r="AB52" s="1"/>
    </row>
    <row r="53" spans="25:28" ht="12.75">
      <c r="Y53" s="1"/>
      <c r="Z53" s="1"/>
      <c r="AA53" s="1"/>
      <c r="AB53" s="1"/>
    </row>
  </sheetData>
  <sheetProtection/>
  <mergeCells count="5">
    <mergeCell ref="J4:K4"/>
    <mergeCell ref="Z24:AA24"/>
    <mergeCell ref="D27:E27"/>
    <mergeCell ref="L28:M28"/>
    <mergeCell ref="J28:K28"/>
  </mergeCells>
  <printOptions/>
  <pageMargins left="0.1968503937007874" right="0.2362204724409449" top="0.2755905511811024" bottom="0.6299212598425197" header="0.1968503937007874" footer="0.2362204724409449"/>
  <pageSetup fitToWidth="2" horizontalDpi="300" verticalDpi="300" orientation="landscape" paperSize="9" scale="87" r:id="rId1"/>
  <headerFooter alignWithMargins="0">
    <oddFooter>&amp;LPrepared by:
RBS Accounting Solutions&amp;CFor:
Bradley Stoke Town Council&amp;R&amp;T
&amp;D</oddFooter>
  </headerFooter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53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6.421875" style="0" customWidth="1"/>
    <col min="2" max="2" width="23.140625" style="0" customWidth="1"/>
    <col min="3" max="3" width="14.28125" style="0" customWidth="1"/>
    <col min="4" max="4" width="9.28125" style="0" bestFit="1" customWidth="1"/>
    <col min="5" max="5" width="9.00390625" style="0" customWidth="1"/>
    <col min="6" max="7" width="10.57421875" style="0" customWidth="1"/>
    <col min="8" max="8" width="3.8515625" style="0" customWidth="1"/>
    <col min="9" max="9" width="9.421875" style="0" bestFit="1" customWidth="1"/>
    <col min="10" max="11" width="9.28125" style="0" bestFit="1" customWidth="1"/>
    <col min="12" max="12" width="9.28125" style="0" customWidth="1"/>
    <col min="13" max="14" width="9.28125" style="0" bestFit="1" customWidth="1"/>
    <col min="15" max="15" width="8.7109375" style="0" bestFit="1" customWidth="1"/>
    <col min="16" max="16" width="8.7109375" style="0" customWidth="1"/>
    <col min="17" max="17" width="11.00390625" style="0" bestFit="1" customWidth="1"/>
    <col min="18" max="18" width="9.7109375" style="0" bestFit="1" customWidth="1"/>
    <col min="19" max="20" width="10.8515625" style="0" bestFit="1" customWidth="1"/>
    <col min="21" max="21" width="6.57421875" style="0" bestFit="1" customWidth="1"/>
    <col min="22" max="22" width="6.57421875" style="0" customWidth="1"/>
    <col min="23" max="23" width="8.00390625" style="0" bestFit="1" customWidth="1"/>
    <col min="25" max="25" width="6.28125" style="0" customWidth="1"/>
    <col min="26" max="26" width="6.00390625" style="0" bestFit="1" customWidth="1"/>
    <col min="27" max="27" width="7.7109375" style="0" customWidth="1"/>
  </cols>
  <sheetData>
    <row r="1" spans="1:17" ht="12.75">
      <c r="A1" s="2" t="s">
        <v>0</v>
      </c>
      <c r="E1" s="2" t="s">
        <v>74</v>
      </c>
      <c r="Q1" s="2" t="s">
        <v>72</v>
      </c>
    </row>
    <row r="2" spans="1:5" ht="12.75">
      <c r="A2" s="2"/>
      <c r="E2" s="2"/>
    </row>
    <row r="3" spans="1:14" ht="13.5" thickBot="1">
      <c r="A3" s="2"/>
      <c r="B3" s="2"/>
      <c r="C3" s="2"/>
      <c r="D3" s="3" t="s">
        <v>2</v>
      </c>
      <c r="E3" s="3"/>
      <c r="F3" s="3"/>
      <c r="G3" s="3"/>
      <c r="H3" s="3"/>
      <c r="I3" s="3"/>
      <c r="J3" s="3"/>
      <c r="K3" s="3"/>
      <c r="L3" s="3"/>
      <c r="M3" s="4"/>
      <c r="N3" s="4"/>
    </row>
    <row r="4" spans="3:27" ht="13.5" thickBot="1">
      <c r="C4" s="4" t="s">
        <v>3</v>
      </c>
      <c r="D4" s="4" t="s">
        <v>4</v>
      </c>
      <c r="E4" s="4" t="s">
        <v>5</v>
      </c>
      <c r="F4" s="4" t="s">
        <v>6</v>
      </c>
      <c r="G4" s="4" t="s">
        <v>66</v>
      </c>
      <c r="H4" s="4"/>
      <c r="I4" s="33" t="s">
        <v>57</v>
      </c>
      <c r="J4" s="33"/>
      <c r="K4" s="4" t="s">
        <v>8</v>
      </c>
      <c r="L4" s="4" t="s">
        <v>73</v>
      </c>
      <c r="M4" s="4" t="s">
        <v>9</v>
      </c>
      <c r="N4" s="4" t="s">
        <v>10</v>
      </c>
      <c r="P4" s="5" t="s">
        <v>11</v>
      </c>
      <c r="Q4" s="6" t="s">
        <v>12</v>
      </c>
      <c r="R4" s="7" t="s">
        <v>13</v>
      </c>
      <c r="S4" s="8" t="s">
        <v>14</v>
      </c>
      <c r="T4" s="9" t="s">
        <v>15</v>
      </c>
      <c r="U4" s="10" t="s">
        <v>16</v>
      </c>
      <c r="V4" s="10" t="s">
        <v>62</v>
      </c>
      <c r="W4" s="10" t="s">
        <v>17</v>
      </c>
      <c r="X4" s="9" t="s">
        <v>18</v>
      </c>
      <c r="Y4" s="9" t="s">
        <v>19</v>
      </c>
      <c r="Z4" s="9" t="s">
        <v>20</v>
      </c>
      <c r="AA4" s="5" t="s">
        <v>9</v>
      </c>
    </row>
    <row r="5" spans="9:27" ht="12.75">
      <c r="I5" s="4" t="s">
        <v>58</v>
      </c>
      <c r="J5" s="4" t="s">
        <v>59</v>
      </c>
      <c r="Q5" s="11"/>
      <c r="R5" s="12"/>
      <c r="S5" s="1"/>
      <c r="T5" s="12"/>
      <c r="U5" s="12"/>
      <c r="V5" s="12"/>
      <c r="W5" s="12"/>
      <c r="X5" s="1"/>
      <c r="Y5" s="13"/>
      <c r="Z5" s="13"/>
      <c r="AA5" s="13"/>
    </row>
    <row r="6" spans="1:25" ht="12" customHeight="1">
      <c r="A6">
        <v>101</v>
      </c>
      <c r="B6" t="s">
        <v>21</v>
      </c>
      <c r="C6" s="14"/>
      <c r="D6">
        <v>96286</v>
      </c>
      <c r="E6">
        <v>-67626</v>
      </c>
      <c r="H6" s="14" t="s">
        <v>22</v>
      </c>
      <c r="N6">
        <f aca="true" t="shared" si="0" ref="N6:N22">SUM(D6:M6)</f>
        <v>28660</v>
      </c>
      <c r="P6">
        <f aca="true" t="shared" si="1" ref="P6:P22">SUM(Q6:R6)</f>
        <v>28660</v>
      </c>
      <c r="Q6" s="11">
        <f>N6</f>
        <v>28660</v>
      </c>
      <c r="R6" s="1"/>
      <c r="S6" s="1"/>
      <c r="T6" s="1"/>
      <c r="U6" s="1"/>
      <c r="V6" s="1"/>
      <c r="Y6" s="1"/>
    </row>
    <row r="7" spans="1:26" ht="12" customHeight="1">
      <c r="A7">
        <v>102</v>
      </c>
      <c r="B7" t="s">
        <v>54</v>
      </c>
      <c r="C7" s="14"/>
      <c r="D7">
        <v>43079</v>
      </c>
      <c r="E7">
        <v>-22644</v>
      </c>
      <c r="H7" s="14" t="s">
        <v>22</v>
      </c>
      <c r="I7" s="23">
        <v>140077</v>
      </c>
      <c r="J7">
        <v>43719</v>
      </c>
      <c r="N7">
        <f t="shared" si="0"/>
        <v>204231</v>
      </c>
      <c r="P7">
        <f t="shared" si="1"/>
        <v>204231</v>
      </c>
      <c r="Q7" s="11">
        <f>N7</f>
        <v>204231</v>
      </c>
      <c r="R7" s="1"/>
      <c r="S7" s="1"/>
      <c r="T7" s="1"/>
      <c r="U7" s="1"/>
      <c r="V7" s="1"/>
      <c r="W7" s="1"/>
      <c r="Z7" s="1"/>
    </row>
    <row r="8" spans="1:26" ht="12" customHeight="1">
      <c r="A8">
        <v>103</v>
      </c>
      <c r="B8" t="s">
        <v>24</v>
      </c>
      <c r="C8" s="14"/>
      <c r="D8">
        <v>98397</v>
      </c>
      <c r="E8">
        <v>-34680</v>
      </c>
      <c r="H8" s="14" t="s">
        <v>22</v>
      </c>
      <c r="N8">
        <f t="shared" si="0"/>
        <v>63717</v>
      </c>
      <c r="P8">
        <f t="shared" si="1"/>
        <v>63717</v>
      </c>
      <c r="Q8" s="11">
        <f>N8</f>
        <v>63717</v>
      </c>
      <c r="R8" s="1"/>
      <c r="S8" s="1"/>
      <c r="T8" s="1"/>
      <c r="U8" s="1"/>
      <c r="V8" s="1"/>
      <c r="W8" s="1"/>
      <c r="Z8" s="1"/>
    </row>
    <row r="9" spans="2:26" ht="12" customHeight="1">
      <c r="B9" t="s">
        <v>25</v>
      </c>
      <c r="C9" s="14">
        <v>5084</v>
      </c>
      <c r="D9">
        <v>0</v>
      </c>
      <c r="H9" s="14"/>
      <c r="N9">
        <f t="shared" si="0"/>
        <v>0</v>
      </c>
      <c r="P9">
        <f t="shared" si="1"/>
        <v>0</v>
      </c>
      <c r="Q9" s="11"/>
      <c r="R9" s="1">
        <f>N9</f>
        <v>0</v>
      </c>
      <c r="S9" s="1"/>
      <c r="T9" s="1"/>
      <c r="U9" s="1"/>
      <c r="V9" s="1"/>
      <c r="W9" s="1"/>
      <c r="Z9" s="1"/>
    </row>
    <row r="10" spans="1:26" ht="12" customHeight="1">
      <c r="A10">
        <v>201</v>
      </c>
      <c r="B10" t="s">
        <v>26</v>
      </c>
      <c r="C10" s="14" t="s">
        <v>27</v>
      </c>
      <c r="D10">
        <f>2800+4000+50</f>
        <v>6850</v>
      </c>
      <c r="I10">
        <v>14869</v>
      </c>
      <c r="J10">
        <v>8390</v>
      </c>
      <c r="N10">
        <f t="shared" si="0"/>
        <v>30109</v>
      </c>
      <c r="P10">
        <f t="shared" si="1"/>
        <v>0</v>
      </c>
      <c r="Q10" s="11"/>
      <c r="R10" s="1"/>
      <c r="S10" s="1">
        <f>N10</f>
        <v>30109</v>
      </c>
      <c r="T10" s="1"/>
      <c r="U10" s="1"/>
      <c r="V10" s="1"/>
      <c r="W10" s="1"/>
      <c r="Z10" s="1"/>
    </row>
    <row r="11" spans="1:26" ht="12" customHeight="1">
      <c r="A11">
        <v>202</v>
      </c>
      <c r="B11" t="s">
        <v>28</v>
      </c>
      <c r="C11" s="22" t="s">
        <v>70</v>
      </c>
      <c r="D11">
        <v>1900</v>
      </c>
      <c r="N11">
        <f t="shared" si="0"/>
        <v>1900</v>
      </c>
      <c r="P11">
        <f t="shared" si="1"/>
        <v>0</v>
      </c>
      <c r="Q11" s="11"/>
      <c r="R11" s="1"/>
      <c r="S11" s="1">
        <f>$N11</f>
        <v>1900</v>
      </c>
      <c r="T11" s="1"/>
      <c r="U11" s="1"/>
      <c r="V11" s="1"/>
      <c r="W11" s="1"/>
      <c r="Z11" s="1"/>
    </row>
    <row r="12" spans="1:26" ht="12" customHeight="1">
      <c r="A12">
        <v>206</v>
      </c>
      <c r="B12" t="s">
        <v>30</v>
      </c>
      <c r="C12" s="20" t="s">
        <v>68</v>
      </c>
      <c r="D12">
        <f>6000+12020+61500+56040+6930</f>
        <v>142490</v>
      </c>
      <c r="N12">
        <f t="shared" si="0"/>
        <v>142490</v>
      </c>
      <c r="P12">
        <f t="shared" si="1"/>
        <v>0</v>
      </c>
      <c r="Q12" s="11"/>
      <c r="R12" s="1"/>
      <c r="S12" s="1"/>
      <c r="T12" s="1">
        <f>$N12-V12</f>
        <v>142490</v>
      </c>
      <c r="U12" s="1"/>
      <c r="V12" s="1"/>
      <c r="W12" s="1"/>
      <c r="Z12" s="1"/>
    </row>
    <row r="13" spans="1:23" ht="12" customHeight="1">
      <c r="A13">
        <v>401</v>
      </c>
      <c r="B13" t="s">
        <v>16</v>
      </c>
      <c r="C13" s="14" t="s">
        <v>32</v>
      </c>
      <c r="D13">
        <f>5029+9800+600+3000</f>
        <v>18429</v>
      </c>
      <c r="I13">
        <v>12247</v>
      </c>
      <c r="J13">
        <v>2800</v>
      </c>
      <c r="N13">
        <f t="shared" si="0"/>
        <v>33476</v>
      </c>
      <c r="P13">
        <f t="shared" si="1"/>
        <v>0</v>
      </c>
      <c r="Q13" s="11"/>
      <c r="R13" s="1"/>
      <c r="S13" s="1"/>
      <c r="T13" s="1"/>
      <c r="U13" s="1">
        <f>$N13</f>
        <v>33476</v>
      </c>
      <c r="V13" s="1"/>
      <c r="W13" s="1"/>
    </row>
    <row r="14" spans="2:23" ht="12" customHeight="1">
      <c r="B14" t="s">
        <v>33</v>
      </c>
      <c r="C14" s="14">
        <v>5087</v>
      </c>
      <c r="D14">
        <v>26000</v>
      </c>
      <c r="N14">
        <f t="shared" si="0"/>
        <v>26000</v>
      </c>
      <c r="P14">
        <f t="shared" si="1"/>
        <v>0</v>
      </c>
      <c r="Q14" s="11"/>
      <c r="R14" s="1"/>
      <c r="S14" s="1"/>
      <c r="T14" s="1"/>
      <c r="U14" s="1"/>
      <c r="V14" s="1"/>
      <c r="W14" s="1">
        <f>$N14</f>
        <v>26000</v>
      </c>
    </row>
    <row r="15" spans="2:23" ht="12" customHeight="1">
      <c r="B15" s="23" t="s">
        <v>71</v>
      </c>
      <c r="C15" s="14">
        <v>9041</v>
      </c>
      <c r="N15">
        <f t="shared" si="0"/>
        <v>0</v>
      </c>
      <c r="P15">
        <f t="shared" si="1"/>
        <v>0</v>
      </c>
      <c r="Q15" s="11"/>
      <c r="R15" s="1"/>
      <c r="S15" s="1"/>
      <c r="T15" s="1"/>
      <c r="U15" s="1"/>
      <c r="V15" s="1">
        <f>$N15</f>
        <v>0</v>
      </c>
      <c r="W15" s="1"/>
    </row>
    <row r="16" spans="2:24" ht="12" customHeight="1">
      <c r="B16" t="s">
        <v>34</v>
      </c>
      <c r="C16" s="14"/>
      <c r="D16">
        <f>689074-SUM(D9:D14)-SUM(D18:D19)</f>
        <v>492705</v>
      </c>
      <c r="E16">
        <v>-200</v>
      </c>
      <c r="I16" s="21">
        <v>-216765</v>
      </c>
      <c r="J16">
        <v>-79104</v>
      </c>
      <c r="N16">
        <f t="shared" si="0"/>
        <v>196636</v>
      </c>
      <c r="P16">
        <f t="shared" si="1"/>
        <v>0</v>
      </c>
      <c r="Q16" s="11"/>
      <c r="R16" s="1"/>
      <c r="S16" s="1"/>
      <c r="T16" s="1"/>
      <c r="U16" s="1"/>
      <c r="V16" s="1"/>
      <c r="W16" s="1"/>
      <c r="X16" s="1">
        <f>$N16</f>
        <v>196636</v>
      </c>
    </row>
    <row r="17" spans="1:24" ht="12" customHeight="1">
      <c r="A17">
        <v>901</v>
      </c>
      <c r="B17" t="s">
        <v>35</v>
      </c>
      <c r="C17" s="14"/>
      <c r="N17">
        <f t="shared" si="0"/>
        <v>0</v>
      </c>
      <c r="P17">
        <f t="shared" si="1"/>
        <v>0</v>
      </c>
      <c r="Q17" s="11"/>
      <c r="R17" s="1"/>
      <c r="S17" s="1"/>
      <c r="T17" s="1"/>
      <c r="U17" s="1"/>
      <c r="V17" s="1"/>
      <c r="W17" s="1"/>
      <c r="X17" s="1">
        <f>$N17</f>
        <v>0</v>
      </c>
    </row>
    <row r="18" spans="1:25" ht="12" customHeight="1">
      <c r="A18">
        <v>902</v>
      </c>
      <c r="B18" t="s">
        <v>36</v>
      </c>
      <c r="C18" s="14">
        <v>5086</v>
      </c>
      <c r="D18">
        <v>0</v>
      </c>
      <c r="I18">
        <v>39401</v>
      </c>
      <c r="J18">
        <v>18900</v>
      </c>
      <c r="N18">
        <f t="shared" si="0"/>
        <v>58301</v>
      </c>
      <c r="P18">
        <f t="shared" si="1"/>
        <v>0</v>
      </c>
      <c r="Q18" s="11"/>
      <c r="R18" s="1"/>
      <c r="S18" s="1"/>
      <c r="T18" s="1"/>
      <c r="U18" s="1"/>
      <c r="V18" s="1"/>
      <c r="W18" s="1"/>
      <c r="Y18" s="1">
        <f>$N18</f>
        <v>58301</v>
      </c>
    </row>
    <row r="19" spans="1:26" ht="12" customHeight="1">
      <c r="A19">
        <v>903</v>
      </c>
      <c r="B19" t="s">
        <v>20</v>
      </c>
      <c r="C19" s="14">
        <v>5073</v>
      </c>
      <c r="D19">
        <v>700</v>
      </c>
      <c r="I19">
        <v>10171</v>
      </c>
      <c r="J19">
        <v>5295</v>
      </c>
      <c r="N19">
        <f t="shared" si="0"/>
        <v>16166</v>
      </c>
      <c r="P19">
        <f t="shared" si="1"/>
        <v>0</v>
      </c>
      <c r="Q19" s="11"/>
      <c r="R19" s="1"/>
      <c r="S19" s="1"/>
      <c r="T19" s="1"/>
      <c r="U19" s="1"/>
      <c r="V19" s="1"/>
      <c r="W19" s="1"/>
      <c r="Z19" s="1">
        <f>$N19</f>
        <v>16166</v>
      </c>
    </row>
    <row r="20" spans="2:23" ht="12" customHeight="1">
      <c r="B20" t="s">
        <v>37</v>
      </c>
      <c r="C20" s="14"/>
      <c r="D20">
        <v>17170</v>
      </c>
      <c r="F20">
        <f>-D20</f>
        <v>-17170</v>
      </c>
      <c r="N20">
        <f t="shared" si="0"/>
        <v>0</v>
      </c>
      <c r="P20">
        <f t="shared" si="1"/>
        <v>0</v>
      </c>
      <c r="Q20" s="11"/>
      <c r="R20" s="1"/>
      <c r="S20" s="1"/>
      <c r="T20" s="1"/>
      <c r="U20" s="1"/>
      <c r="V20" s="1"/>
      <c r="W20" s="1"/>
    </row>
    <row r="21" spans="2:23" ht="12" customHeight="1">
      <c r="B21" t="s">
        <v>66</v>
      </c>
      <c r="C21" s="14"/>
      <c r="D21">
        <f>123272-142372</f>
        <v>-19100</v>
      </c>
      <c r="G21">
        <f>-D21</f>
        <v>19100</v>
      </c>
      <c r="N21">
        <f t="shared" si="0"/>
        <v>0</v>
      </c>
      <c r="P21">
        <f t="shared" si="1"/>
        <v>0</v>
      </c>
      <c r="Q21" s="11"/>
      <c r="R21" s="1"/>
      <c r="S21" s="1"/>
      <c r="T21" s="1"/>
      <c r="U21" s="1"/>
      <c r="V21" s="1"/>
      <c r="W21" s="1"/>
    </row>
    <row r="22" spans="2:27" ht="12.75">
      <c r="B22" t="s">
        <v>9</v>
      </c>
      <c r="C22" s="14"/>
      <c r="E22">
        <v>-1700</v>
      </c>
      <c r="N22">
        <f t="shared" si="0"/>
        <v>-1700</v>
      </c>
      <c r="P22">
        <f t="shared" si="1"/>
        <v>0</v>
      </c>
      <c r="Q22" s="11"/>
      <c r="R22" s="1"/>
      <c r="S22" s="15"/>
      <c r="T22" s="1"/>
      <c r="U22" s="1"/>
      <c r="V22" s="1"/>
      <c r="W22" s="1"/>
      <c r="AA22" s="1">
        <f>$N22</f>
        <v>-1700</v>
      </c>
    </row>
    <row r="23" spans="4:27" ht="13.5" thickBot="1">
      <c r="D23" s="16">
        <f>SUM(D6:D22)</f>
        <v>924906</v>
      </c>
      <c r="E23" s="16">
        <f>SUM(E6:E22)</f>
        <v>-126850</v>
      </c>
      <c r="F23" s="16">
        <f>SUM(F6:F22)</f>
        <v>-17170</v>
      </c>
      <c r="G23" s="16">
        <f>SUM(G6:G22)</f>
        <v>19100</v>
      </c>
      <c r="H23" s="16"/>
      <c r="I23" s="16">
        <f aca="true" t="shared" si="2" ref="I23:N23">SUM(I6:I22)</f>
        <v>0</v>
      </c>
      <c r="J23" s="16">
        <f t="shared" si="2"/>
        <v>0</v>
      </c>
      <c r="K23" s="16">
        <f t="shared" si="2"/>
        <v>0</v>
      </c>
      <c r="L23" s="16">
        <f t="shared" si="2"/>
        <v>0</v>
      </c>
      <c r="M23" s="16">
        <f t="shared" si="2"/>
        <v>0</v>
      </c>
      <c r="N23" s="16">
        <f t="shared" si="2"/>
        <v>799986</v>
      </c>
      <c r="P23" s="16">
        <f aca="true" t="shared" si="3" ref="P23:AA23">SUM(P5:P22)</f>
        <v>296608</v>
      </c>
      <c r="Q23" s="16">
        <f t="shared" si="3"/>
        <v>296608</v>
      </c>
      <c r="R23" s="16">
        <f t="shared" si="3"/>
        <v>0</v>
      </c>
      <c r="S23" s="17">
        <f t="shared" si="3"/>
        <v>32009</v>
      </c>
      <c r="T23" s="16">
        <f t="shared" si="3"/>
        <v>142490</v>
      </c>
      <c r="U23" s="16">
        <f t="shared" si="3"/>
        <v>33476</v>
      </c>
      <c r="V23" s="16">
        <f t="shared" si="3"/>
        <v>0</v>
      </c>
      <c r="W23" s="16">
        <f t="shared" si="3"/>
        <v>26000</v>
      </c>
      <c r="X23" s="16">
        <f t="shared" si="3"/>
        <v>196636</v>
      </c>
      <c r="Y23" s="16">
        <f t="shared" si="3"/>
        <v>58301</v>
      </c>
      <c r="Z23" s="16">
        <f t="shared" si="3"/>
        <v>16166</v>
      </c>
      <c r="AA23" s="16">
        <f t="shared" si="3"/>
        <v>-1700</v>
      </c>
    </row>
    <row r="24" spans="16:27" ht="14.25" thickBot="1" thickTop="1">
      <c r="P24" s="18">
        <f>P23</f>
        <v>296608</v>
      </c>
      <c r="Q24" s="1"/>
      <c r="R24" s="1"/>
      <c r="S24" s="18">
        <f aca="true" t="shared" si="4" ref="S24:X24">S23</f>
        <v>32009</v>
      </c>
      <c r="T24" s="18">
        <f t="shared" si="4"/>
        <v>142490</v>
      </c>
      <c r="U24" s="18">
        <f t="shared" si="4"/>
        <v>33476</v>
      </c>
      <c r="V24" s="18">
        <f t="shared" si="4"/>
        <v>0</v>
      </c>
      <c r="W24" s="18">
        <f t="shared" si="4"/>
        <v>26000</v>
      </c>
      <c r="X24" s="18">
        <f t="shared" si="4"/>
        <v>196636</v>
      </c>
      <c r="Y24" s="34">
        <f>Y23+Z23</f>
        <v>74467</v>
      </c>
      <c r="Z24" s="34"/>
      <c r="AA24" s="18">
        <f>AA23</f>
        <v>-1700</v>
      </c>
    </row>
    <row r="25" spans="1:15" ht="14.25" thickBot="1" thickTop="1">
      <c r="A25" t="s">
        <v>39</v>
      </c>
      <c r="D25" s="17">
        <v>789733</v>
      </c>
      <c r="F25" s="1"/>
      <c r="G25" s="1"/>
      <c r="H25" s="1"/>
      <c r="N25" s="17">
        <f>D25</f>
        <v>789733</v>
      </c>
      <c r="O25" s="17">
        <f>SUM(P24:AA24)</f>
        <v>799986</v>
      </c>
    </row>
    <row r="26" spans="1:13" ht="13.5" thickTop="1">
      <c r="A26" t="s">
        <v>40</v>
      </c>
      <c r="M26" s="1"/>
    </row>
    <row r="27" spans="1:14" ht="13.5" thickBot="1">
      <c r="A27" t="s">
        <v>41</v>
      </c>
      <c r="D27" s="35">
        <f>D23-D25+E23</f>
        <v>8323</v>
      </c>
      <c r="E27" s="35"/>
      <c r="F27" s="17">
        <f>F23</f>
        <v>-17170</v>
      </c>
      <c r="G27" s="17">
        <f>G23</f>
        <v>19100</v>
      </c>
      <c r="H27" s="17"/>
      <c r="I27" s="17">
        <f>I23</f>
        <v>0</v>
      </c>
      <c r="J27" s="17">
        <f>J23</f>
        <v>0</v>
      </c>
      <c r="K27" s="17">
        <f>K23</f>
        <v>0</v>
      </c>
      <c r="L27" s="17">
        <f>L23</f>
        <v>0</v>
      </c>
      <c r="M27" s="17">
        <f>M23</f>
        <v>0</v>
      </c>
      <c r="N27" s="17">
        <f>N23-N25</f>
        <v>10253</v>
      </c>
    </row>
    <row r="28" spans="11:12" ht="14.25" thickBot="1" thickTop="1">
      <c r="K28" s="36">
        <f>SUM(K27:L27)</f>
        <v>0</v>
      </c>
      <c r="L28" s="36"/>
    </row>
    <row r="29" ht="13.5" thickTop="1"/>
    <row r="30" spans="1:5" ht="12.75" hidden="1">
      <c r="A30" t="s">
        <v>44</v>
      </c>
      <c r="B30" t="s">
        <v>45</v>
      </c>
      <c r="C30" s="1"/>
      <c r="D30" t="s">
        <v>53</v>
      </c>
      <c r="E30" t="s">
        <v>6</v>
      </c>
    </row>
    <row r="31" spans="1:4" ht="12.75" hidden="1">
      <c r="A31">
        <v>9015</v>
      </c>
      <c r="B31" t="s">
        <v>46</v>
      </c>
      <c r="C31" s="1"/>
      <c r="D31">
        <v>15000</v>
      </c>
    </row>
    <row r="32" spans="2:5" ht="12.75" hidden="1">
      <c r="B32" t="s">
        <v>47</v>
      </c>
      <c r="C32" s="1"/>
      <c r="D32">
        <v>-5000</v>
      </c>
      <c r="E32">
        <v>5000</v>
      </c>
    </row>
    <row r="33" ht="12.75" hidden="1">
      <c r="B33" t="s">
        <v>48</v>
      </c>
    </row>
    <row r="34" spans="1:4" ht="12.75" hidden="1">
      <c r="A34">
        <v>9020</v>
      </c>
      <c r="B34" t="s">
        <v>55</v>
      </c>
      <c r="D34">
        <v>10000</v>
      </c>
    </row>
    <row r="35" spans="1:4" ht="12.75" hidden="1">
      <c r="A35">
        <v>9022</v>
      </c>
      <c r="B35" t="s">
        <v>49</v>
      </c>
      <c r="D35">
        <v>4000</v>
      </c>
    </row>
    <row r="36" spans="1:5" ht="12.75" hidden="1">
      <c r="A36">
        <v>9024</v>
      </c>
      <c r="B36" t="s">
        <v>52</v>
      </c>
      <c r="E36">
        <v>500</v>
      </c>
    </row>
    <row r="37" spans="1:4" ht="12.75" hidden="1">
      <c r="A37">
        <v>9025</v>
      </c>
      <c r="B37" t="s">
        <v>50</v>
      </c>
      <c r="D37">
        <v>500</v>
      </c>
    </row>
    <row r="38" spans="1:4" ht="12.75" hidden="1">
      <c r="A38">
        <v>9026</v>
      </c>
      <c r="B38" t="s">
        <v>54</v>
      </c>
      <c r="D38">
        <v>500</v>
      </c>
    </row>
    <row r="39" spans="1:4" ht="12.75" hidden="1">
      <c r="A39">
        <v>9027</v>
      </c>
      <c r="B39" t="s">
        <v>24</v>
      </c>
      <c r="D39">
        <v>3500</v>
      </c>
    </row>
    <row r="40" spans="1:2" ht="12.75" hidden="1">
      <c r="A40">
        <v>9028</v>
      </c>
      <c r="B40" t="s">
        <v>52</v>
      </c>
    </row>
    <row r="41" spans="1:4" ht="12.75" hidden="1">
      <c r="A41">
        <v>9029</v>
      </c>
      <c r="B41" t="s">
        <v>51</v>
      </c>
      <c r="D41">
        <v>1000</v>
      </c>
    </row>
    <row r="42" spans="1:4" ht="12.75" hidden="1">
      <c r="A42">
        <v>9030</v>
      </c>
      <c r="B42" t="s">
        <v>50</v>
      </c>
      <c r="D42">
        <v>5000</v>
      </c>
    </row>
    <row r="43" spans="1:4" ht="12.75" hidden="1">
      <c r="A43">
        <v>9031</v>
      </c>
      <c r="B43" t="s">
        <v>54</v>
      </c>
      <c r="D43">
        <v>500</v>
      </c>
    </row>
    <row r="44" spans="1:5" ht="12.75" hidden="1">
      <c r="A44">
        <v>9032</v>
      </c>
      <c r="B44" t="s">
        <v>52</v>
      </c>
      <c r="E44">
        <v>1000</v>
      </c>
    </row>
    <row r="45" spans="3:5" ht="12.75" hidden="1">
      <c r="C45" s="19">
        <f>SUM(D45:E45)</f>
        <v>41500</v>
      </c>
      <c r="D45" s="19">
        <f>SUM(D31:D44)</f>
        <v>35000</v>
      </c>
      <c r="E45" s="19">
        <f>SUM(E31:E44)</f>
        <v>6500</v>
      </c>
    </row>
    <row r="51" spans="24:27" ht="12.75">
      <c r="X51" s="1"/>
      <c r="Y51" s="1"/>
      <c r="Z51" s="1"/>
      <c r="AA51" s="1"/>
    </row>
    <row r="52" spans="24:27" ht="12.75">
      <c r="X52" s="1"/>
      <c r="Y52" s="1"/>
      <c r="Z52" s="1"/>
      <c r="AA52" s="1"/>
    </row>
    <row r="53" spans="24:27" ht="12.75">
      <c r="X53" s="1"/>
      <c r="Y53" s="1"/>
      <c r="Z53" s="1"/>
      <c r="AA53" s="1"/>
    </row>
  </sheetData>
  <sheetProtection/>
  <mergeCells count="4">
    <mergeCell ref="I4:J4"/>
    <mergeCell ref="Y24:Z24"/>
    <mergeCell ref="D27:E27"/>
    <mergeCell ref="K28:L28"/>
  </mergeCells>
  <printOptions/>
  <pageMargins left="0.1968503937007874" right="0.2362204724409449" top="0.2755905511811024" bottom="0.6299212598425197" header="0.1968503937007874" footer="0.2362204724409449"/>
  <pageSetup fitToWidth="2" horizontalDpi="300" verticalDpi="300" orientation="landscape" paperSize="9" scale="87" r:id="rId1"/>
  <headerFooter alignWithMargins="0">
    <oddFooter>&amp;LPrepared by:
RBS Accounting Solutions&amp;CFor:
Bradley Stoke Town Council&amp;R&amp;T
&amp;D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53"/>
  <sheetViews>
    <sheetView zoomScalePageLayoutView="0" workbookViewId="0" topLeftCell="A1">
      <selection activeCell="I27" sqref="I27:J27"/>
    </sheetView>
  </sheetViews>
  <sheetFormatPr defaultColWidth="9.140625" defaultRowHeight="12.75"/>
  <cols>
    <col min="1" max="1" width="6.421875" style="0" customWidth="1"/>
    <col min="2" max="2" width="23.140625" style="0" customWidth="1"/>
    <col min="3" max="3" width="14.28125" style="0" customWidth="1"/>
    <col min="4" max="4" width="9.28125" style="0" bestFit="1" customWidth="1"/>
    <col min="5" max="5" width="9.00390625" style="0" customWidth="1"/>
    <col min="6" max="7" width="10.57421875" style="0" customWidth="1"/>
    <col min="8" max="8" width="3.8515625" style="0" customWidth="1"/>
    <col min="9" max="9" width="9.421875" style="0" bestFit="1" customWidth="1"/>
    <col min="10" max="11" width="9.28125" style="0" bestFit="1" customWidth="1"/>
    <col min="12" max="12" width="9.28125" style="0" customWidth="1"/>
    <col min="13" max="14" width="9.28125" style="0" bestFit="1" customWidth="1"/>
    <col min="15" max="15" width="8.7109375" style="0" bestFit="1" customWidth="1"/>
    <col min="16" max="16" width="8.7109375" style="0" customWidth="1"/>
    <col min="17" max="17" width="11.00390625" style="0" bestFit="1" customWidth="1"/>
    <col min="18" max="18" width="9.7109375" style="0" bestFit="1" customWidth="1"/>
    <col min="19" max="20" width="10.8515625" style="0" bestFit="1" customWidth="1"/>
    <col min="21" max="21" width="6.57421875" style="0" bestFit="1" customWidth="1"/>
    <col min="22" max="22" width="6.57421875" style="0" customWidth="1"/>
    <col min="23" max="23" width="8.00390625" style="0" bestFit="1" customWidth="1"/>
    <col min="25" max="25" width="6.28125" style="0" customWidth="1"/>
    <col min="26" max="26" width="6.00390625" style="0" bestFit="1" customWidth="1"/>
    <col min="27" max="27" width="7.7109375" style="0" customWidth="1"/>
  </cols>
  <sheetData>
    <row r="1" spans="1:17" ht="12.75">
      <c r="A1" s="2" t="s">
        <v>0</v>
      </c>
      <c r="E1" s="2" t="s">
        <v>72</v>
      </c>
      <c r="Q1" s="2" t="s">
        <v>72</v>
      </c>
    </row>
    <row r="2" spans="1:5" ht="12.75">
      <c r="A2" s="2"/>
      <c r="E2" s="2"/>
    </row>
    <row r="3" spans="1:14" ht="13.5" thickBot="1">
      <c r="A3" s="2"/>
      <c r="B3" s="2"/>
      <c r="C3" s="2"/>
      <c r="D3" s="3" t="s">
        <v>2</v>
      </c>
      <c r="E3" s="3"/>
      <c r="F3" s="3"/>
      <c r="G3" s="3"/>
      <c r="H3" s="3"/>
      <c r="I3" s="3"/>
      <c r="J3" s="3"/>
      <c r="K3" s="3"/>
      <c r="L3" s="3"/>
      <c r="M3" s="4"/>
      <c r="N3" s="4"/>
    </row>
    <row r="4" spans="3:27" ht="13.5" thickBot="1">
      <c r="C4" s="4" t="s">
        <v>3</v>
      </c>
      <c r="D4" s="4" t="s">
        <v>4</v>
      </c>
      <c r="E4" s="4" t="s">
        <v>5</v>
      </c>
      <c r="F4" s="4" t="s">
        <v>6</v>
      </c>
      <c r="G4" s="4" t="s">
        <v>66</v>
      </c>
      <c r="H4" s="4"/>
      <c r="I4" s="33" t="s">
        <v>57</v>
      </c>
      <c r="J4" s="33"/>
      <c r="K4" s="4" t="s">
        <v>8</v>
      </c>
      <c r="L4" s="4" t="s">
        <v>73</v>
      </c>
      <c r="M4" s="4" t="s">
        <v>9</v>
      </c>
      <c r="N4" s="4" t="s">
        <v>10</v>
      </c>
      <c r="P4" s="5" t="s">
        <v>11</v>
      </c>
      <c r="Q4" s="6" t="s">
        <v>12</v>
      </c>
      <c r="R4" s="7" t="s">
        <v>13</v>
      </c>
      <c r="S4" s="8" t="s">
        <v>14</v>
      </c>
      <c r="T4" s="9" t="s">
        <v>15</v>
      </c>
      <c r="U4" s="10" t="s">
        <v>16</v>
      </c>
      <c r="V4" s="10" t="s">
        <v>62</v>
      </c>
      <c r="W4" s="10" t="s">
        <v>17</v>
      </c>
      <c r="X4" s="9" t="s">
        <v>18</v>
      </c>
      <c r="Y4" s="9" t="s">
        <v>19</v>
      </c>
      <c r="Z4" s="9" t="s">
        <v>20</v>
      </c>
      <c r="AA4" s="5" t="s">
        <v>9</v>
      </c>
    </row>
    <row r="5" spans="9:27" ht="12.75">
      <c r="I5" s="4" t="s">
        <v>58</v>
      </c>
      <c r="J5" s="4" t="s">
        <v>59</v>
      </c>
      <c r="K5" t="s">
        <v>60</v>
      </c>
      <c r="Q5" s="11"/>
      <c r="R5" s="12"/>
      <c r="S5" s="1"/>
      <c r="T5" s="12"/>
      <c r="U5" s="12"/>
      <c r="V5" s="12"/>
      <c r="W5" s="12"/>
      <c r="X5" s="1"/>
      <c r="Y5" s="13"/>
      <c r="Z5" s="13"/>
      <c r="AA5" s="13"/>
    </row>
    <row r="6" spans="1:25" ht="12" customHeight="1">
      <c r="A6">
        <v>101</v>
      </c>
      <c r="B6" t="s">
        <v>21</v>
      </c>
      <c r="C6" s="14"/>
      <c r="D6">
        <v>91960</v>
      </c>
      <c r="E6">
        <v>-66300</v>
      </c>
      <c r="H6" s="14" t="s">
        <v>22</v>
      </c>
      <c r="K6">
        <v>30016</v>
      </c>
      <c r="N6">
        <f aca="true" t="shared" si="0" ref="N6:N22">SUM(D6:M6)</f>
        <v>55676</v>
      </c>
      <c r="P6">
        <f aca="true" t="shared" si="1" ref="P6:P22">SUM(Q6:R6)</f>
        <v>55676</v>
      </c>
      <c r="Q6" s="11">
        <f>N6</f>
        <v>55676</v>
      </c>
      <c r="R6" s="1"/>
      <c r="S6" s="1"/>
      <c r="T6" s="1"/>
      <c r="U6" s="1"/>
      <c r="V6" s="1"/>
      <c r="Y6" s="1"/>
    </row>
    <row r="7" spans="1:26" ht="12" customHeight="1">
      <c r="A7">
        <v>102</v>
      </c>
      <c r="B7" t="s">
        <v>54</v>
      </c>
      <c r="C7" s="14"/>
      <c r="D7">
        <v>39809</v>
      </c>
      <c r="E7">
        <v>-22200</v>
      </c>
      <c r="H7" s="14" t="s">
        <v>22</v>
      </c>
      <c r="I7" s="23">
        <f>132308+57200</f>
        <v>189508</v>
      </c>
      <c r="J7">
        <v>43966</v>
      </c>
      <c r="K7">
        <v>13869</v>
      </c>
      <c r="N7">
        <f t="shared" si="0"/>
        <v>264952</v>
      </c>
      <c r="P7">
        <f t="shared" si="1"/>
        <v>264952</v>
      </c>
      <c r="Q7" s="11">
        <f>N7</f>
        <v>264952</v>
      </c>
      <c r="R7" s="1"/>
      <c r="S7" s="1"/>
      <c r="T7" s="1"/>
      <c r="U7" s="1"/>
      <c r="V7" s="1"/>
      <c r="W7" s="1"/>
      <c r="Z7" s="1"/>
    </row>
    <row r="8" spans="1:26" ht="12" customHeight="1">
      <c r="A8">
        <v>103</v>
      </c>
      <c r="B8" t="s">
        <v>24</v>
      </c>
      <c r="C8" s="14"/>
      <c r="D8">
        <v>93948</v>
      </c>
      <c r="E8">
        <v>-34000</v>
      </c>
      <c r="H8" s="14" t="s">
        <v>22</v>
      </c>
      <c r="K8">
        <v>32182</v>
      </c>
      <c r="N8">
        <f t="shared" si="0"/>
        <v>92130</v>
      </c>
      <c r="P8">
        <f t="shared" si="1"/>
        <v>92130</v>
      </c>
      <c r="Q8" s="11">
        <f>N8</f>
        <v>92130</v>
      </c>
      <c r="R8" s="1"/>
      <c r="S8" s="1"/>
      <c r="T8" s="1"/>
      <c r="U8" s="1"/>
      <c r="V8" s="1"/>
      <c r="W8" s="1"/>
      <c r="Z8" s="1"/>
    </row>
    <row r="9" spans="2:26" ht="12" customHeight="1">
      <c r="B9" t="s">
        <v>25</v>
      </c>
      <c r="C9" s="14">
        <v>5084</v>
      </c>
      <c r="D9">
        <v>0</v>
      </c>
      <c r="H9" s="14"/>
      <c r="N9">
        <f t="shared" si="0"/>
        <v>0</v>
      </c>
      <c r="P9">
        <f t="shared" si="1"/>
        <v>0</v>
      </c>
      <c r="Q9" s="11"/>
      <c r="R9" s="1">
        <f>N9</f>
        <v>0</v>
      </c>
      <c r="S9" s="1"/>
      <c r="T9" s="1"/>
      <c r="U9" s="1"/>
      <c r="V9" s="1"/>
      <c r="W9" s="1"/>
      <c r="Z9" s="1"/>
    </row>
    <row r="10" spans="1:26" ht="12" customHeight="1">
      <c r="A10">
        <v>201</v>
      </c>
      <c r="B10" t="s">
        <v>26</v>
      </c>
      <c r="C10" s="14" t="s">
        <v>27</v>
      </c>
      <c r="D10">
        <f>4000+50</f>
        <v>4050</v>
      </c>
      <c r="I10">
        <f>8773</f>
        <v>8773</v>
      </c>
      <c r="J10">
        <v>5592</v>
      </c>
      <c r="K10">
        <v>10538</v>
      </c>
      <c r="L10">
        <v>-1255</v>
      </c>
      <c r="N10">
        <f t="shared" si="0"/>
        <v>27698</v>
      </c>
      <c r="P10">
        <f t="shared" si="1"/>
        <v>0</v>
      </c>
      <c r="Q10" s="11"/>
      <c r="R10" s="1"/>
      <c r="S10" s="1">
        <f>N10</f>
        <v>27698</v>
      </c>
      <c r="T10" s="1"/>
      <c r="U10" s="1"/>
      <c r="V10" s="1"/>
      <c r="W10" s="1"/>
      <c r="Z10" s="1"/>
    </row>
    <row r="11" spans="1:26" ht="12" customHeight="1">
      <c r="A11">
        <v>202</v>
      </c>
      <c r="B11" t="s">
        <v>28</v>
      </c>
      <c r="C11" s="22" t="s">
        <v>70</v>
      </c>
      <c r="D11">
        <v>0</v>
      </c>
      <c r="K11">
        <v>1946</v>
      </c>
      <c r="N11">
        <f t="shared" si="0"/>
        <v>1946</v>
      </c>
      <c r="P11">
        <f t="shared" si="1"/>
        <v>0</v>
      </c>
      <c r="Q11" s="11"/>
      <c r="R11" s="1"/>
      <c r="S11" s="1">
        <f>$N11</f>
        <v>1946</v>
      </c>
      <c r="T11" s="1"/>
      <c r="U11" s="1"/>
      <c r="V11" s="1"/>
      <c r="W11" s="1"/>
      <c r="Z11" s="1"/>
    </row>
    <row r="12" spans="1:26" ht="12" customHeight="1">
      <c r="A12">
        <v>206</v>
      </c>
      <c r="B12" t="s">
        <v>30</v>
      </c>
      <c r="C12" s="20" t="s">
        <v>68</v>
      </c>
      <c r="D12">
        <f>6000+12200+114225+6600</f>
        <v>139025</v>
      </c>
      <c r="N12">
        <f t="shared" si="0"/>
        <v>139025</v>
      </c>
      <c r="P12">
        <f t="shared" si="1"/>
        <v>0</v>
      </c>
      <c r="Q12" s="11"/>
      <c r="R12" s="1"/>
      <c r="S12" s="1"/>
      <c r="T12" s="1">
        <f>$N12-V12</f>
        <v>131025</v>
      </c>
      <c r="U12" s="1"/>
      <c r="V12" s="1">
        <v>8000</v>
      </c>
      <c r="W12" s="1"/>
      <c r="Z12" s="1"/>
    </row>
    <row r="13" spans="1:23" ht="12" customHeight="1">
      <c r="A13">
        <v>401</v>
      </c>
      <c r="B13" t="s">
        <v>16</v>
      </c>
      <c r="C13" s="14" t="s">
        <v>32</v>
      </c>
      <c r="D13">
        <f>4820+7132+7052+4000</f>
        <v>23004</v>
      </c>
      <c r="I13">
        <f>8923</f>
        <v>8923</v>
      </c>
      <c r="J13">
        <v>2101</v>
      </c>
      <c r="K13">
        <v>12647</v>
      </c>
      <c r="N13">
        <f t="shared" si="0"/>
        <v>46675</v>
      </c>
      <c r="P13">
        <f t="shared" si="1"/>
        <v>0</v>
      </c>
      <c r="Q13" s="11"/>
      <c r="R13" s="1"/>
      <c r="S13" s="1"/>
      <c r="T13" s="1"/>
      <c r="U13" s="1">
        <f>$N13</f>
        <v>46675</v>
      </c>
      <c r="V13" s="1"/>
      <c r="W13" s="1"/>
    </row>
    <row r="14" spans="2:23" ht="12" customHeight="1">
      <c r="B14" t="s">
        <v>33</v>
      </c>
      <c r="C14" s="14">
        <v>5087</v>
      </c>
      <c r="D14">
        <v>22200</v>
      </c>
      <c r="N14">
        <f t="shared" si="0"/>
        <v>22200</v>
      </c>
      <c r="P14">
        <f t="shared" si="1"/>
        <v>0</v>
      </c>
      <c r="Q14" s="11"/>
      <c r="R14" s="1"/>
      <c r="S14" s="1"/>
      <c r="T14" s="1"/>
      <c r="U14" s="1"/>
      <c r="V14" s="1"/>
      <c r="W14" s="1">
        <f>$N14</f>
        <v>22200</v>
      </c>
    </row>
    <row r="15" spans="2:23" ht="12" customHeight="1">
      <c r="B15" s="23" t="s">
        <v>71</v>
      </c>
      <c r="C15" s="14">
        <v>9041</v>
      </c>
      <c r="N15">
        <f t="shared" si="0"/>
        <v>0</v>
      </c>
      <c r="P15">
        <f t="shared" si="1"/>
        <v>0</v>
      </c>
      <c r="Q15" s="11"/>
      <c r="R15" s="1"/>
      <c r="S15" s="1"/>
      <c r="T15" s="1"/>
      <c r="U15" s="1"/>
      <c r="V15" s="1">
        <f>$N15</f>
        <v>0</v>
      </c>
      <c r="W15" s="1"/>
    </row>
    <row r="16" spans="2:24" ht="12" customHeight="1">
      <c r="B16" t="s">
        <v>34</v>
      </c>
      <c r="C16" s="14"/>
      <c r="D16">
        <f>692842-SUM(D9:D14)-SUM(D18:D19)</f>
        <v>503863</v>
      </c>
      <c r="E16">
        <v>-200</v>
      </c>
      <c r="I16" s="21">
        <f>-155398-57200-54177-6028</f>
        <v>-272803</v>
      </c>
      <c r="J16">
        <v>-78250</v>
      </c>
      <c r="K16">
        <v>3587</v>
      </c>
      <c r="N16">
        <f t="shared" si="0"/>
        <v>156197</v>
      </c>
      <c r="P16">
        <f t="shared" si="1"/>
        <v>0</v>
      </c>
      <c r="Q16" s="11"/>
      <c r="R16" s="1"/>
      <c r="S16" s="1"/>
      <c r="T16" s="1"/>
      <c r="U16" s="1"/>
      <c r="V16" s="1"/>
      <c r="W16" s="1"/>
      <c r="X16" s="1">
        <f>$N16</f>
        <v>156197</v>
      </c>
    </row>
    <row r="17" spans="1:24" ht="12" customHeight="1">
      <c r="A17">
        <v>901</v>
      </c>
      <c r="B17" t="s">
        <v>35</v>
      </c>
      <c r="C17" s="14"/>
      <c r="N17">
        <f t="shared" si="0"/>
        <v>0</v>
      </c>
      <c r="P17">
        <f t="shared" si="1"/>
        <v>0</v>
      </c>
      <c r="Q17" s="11"/>
      <c r="R17" s="1"/>
      <c r="S17" s="1"/>
      <c r="T17" s="1"/>
      <c r="U17" s="1"/>
      <c r="V17" s="1"/>
      <c r="W17" s="1"/>
      <c r="X17" s="1">
        <f>$N17</f>
        <v>0</v>
      </c>
    </row>
    <row r="18" spans="1:25" ht="12" customHeight="1">
      <c r="A18">
        <v>902</v>
      </c>
      <c r="B18" t="s">
        <v>36</v>
      </c>
      <c r="C18" s="14">
        <v>5086</v>
      </c>
      <c r="D18">
        <v>0</v>
      </c>
      <c r="I18">
        <f>53175</f>
        <v>53175</v>
      </c>
      <c r="J18">
        <v>20499</v>
      </c>
      <c r="K18">
        <v>579</v>
      </c>
      <c r="N18">
        <f t="shared" si="0"/>
        <v>74253</v>
      </c>
      <c r="P18">
        <f t="shared" si="1"/>
        <v>0</v>
      </c>
      <c r="Q18" s="11"/>
      <c r="R18" s="1"/>
      <c r="S18" s="1"/>
      <c r="T18" s="1"/>
      <c r="U18" s="1"/>
      <c r="V18" s="1"/>
      <c r="W18" s="1"/>
      <c r="Y18" s="1">
        <f>$N18</f>
        <v>74253</v>
      </c>
    </row>
    <row r="19" spans="1:26" ht="12" customHeight="1">
      <c r="A19">
        <v>903</v>
      </c>
      <c r="B19" t="s">
        <v>20</v>
      </c>
      <c r="C19" s="14">
        <v>5073</v>
      </c>
      <c r="D19">
        <v>700</v>
      </c>
      <c r="I19">
        <f>12424</f>
        <v>12424</v>
      </c>
      <c r="J19">
        <v>6092</v>
      </c>
      <c r="N19">
        <f t="shared" si="0"/>
        <v>19216</v>
      </c>
      <c r="P19">
        <f t="shared" si="1"/>
        <v>0</v>
      </c>
      <c r="Q19" s="11"/>
      <c r="R19" s="1"/>
      <c r="S19" s="1"/>
      <c r="T19" s="1"/>
      <c r="U19" s="1"/>
      <c r="V19" s="1"/>
      <c r="W19" s="1"/>
      <c r="Z19" s="1">
        <f>$N19</f>
        <v>19216</v>
      </c>
    </row>
    <row r="20" spans="2:23" ht="12" customHeight="1">
      <c r="B20" t="s">
        <v>37</v>
      </c>
      <c r="C20" s="14"/>
      <c r="D20">
        <v>8060</v>
      </c>
      <c r="F20">
        <f>-D20</f>
        <v>-8060</v>
      </c>
      <c r="N20">
        <f t="shared" si="0"/>
        <v>0</v>
      </c>
      <c r="P20">
        <f t="shared" si="1"/>
        <v>0</v>
      </c>
      <c r="Q20" s="11"/>
      <c r="R20" s="1"/>
      <c r="S20" s="1"/>
      <c r="T20" s="1"/>
      <c r="U20" s="1"/>
      <c r="V20" s="1"/>
      <c r="W20" s="1"/>
    </row>
    <row r="21" spans="2:23" ht="12" customHeight="1">
      <c r="B21" t="s">
        <v>66</v>
      </c>
      <c r="C21" s="14"/>
      <c r="D21">
        <f>455254-413307</f>
        <v>41947</v>
      </c>
      <c r="G21">
        <v>-41947</v>
      </c>
      <c r="N21">
        <f t="shared" si="0"/>
        <v>0</v>
      </c>
      <c r="P21">
        <f t="shared" si="1"/>
        <v>0</v>
      </c>
      <c r="Q21" s="11"/>
      <c r="R21" s="1"/>
      <c r="S21" s="1"/>
      <c r="T21" s="1"/>
      <c r="U21" s="1"/>
      <c r="V21" s="1"/>
      <c r="W21" s="1"/>
    </row>
    <row r="22" spans="2:27" ht="12.75">
      <c r="B22" t="s">
        <v>9</v>
      </c>
      <c r="C22" s="14"/>
      <c r="E22">
        <v>-7200</v>
      </c>
      <c r="N22">
        <f t="shared" si="0"/>
        <v>-7200</v>
      </c>
      <c r="P22">
        <f t="shared" si="1"/>
        <v>0</v>
      </c>
      <c r="Q22" s="11"/>
      <c r="R22" s="1"/>
      <c r="S22" s="15"/>
      <c r="T22" s="1"/>
      <c r="U22" s="1"/>
      <c r="V22" s="1"/>
      <c r="W22" s="1"/>
      <c r="AA22" s="1">
        <f>$N22</f>
        <v>-7200</v>
      </c>
    </row>
    <row r="23" spans="4:27" ht="13.5" thickBot="1">
      <c r="D23" s="16">
        <f>SUM(D6:D22)</f>
        <v>968566</v>
      </c>
      <c r="E23" s="16">
        <f>SUM(E6:E22)</f>
        <v>-129900</v>
      </c>
      <c r="F23" s="16">
        <f>SUM(F6:F22)</f>
        <v>-8060</v>
      </c>
      <c r="G23" s="16">
        <f>SUM(G6:G22)</f>
        <v>-41947</v>
      </c>
      <c r="H23" s="16"/>
      <c r="I23" s="16">
        <f aca="true" t="shared" si="2" ref="I23:N23">SUM(I6:I22)</f>
        <v>0</v>
      </c>
      <c r="J23" s="16">
        <f t="shared" si="2"/>
        <v>0</v>
      </c>
      <c r="K23" s="16">
        <f t="shared" si="2"/>
        <v>105364</v>
      </c>
      <c r="L23" s="16">
        <f t="shared" si="2"/>
        <v>-1255</v>
      </c>
      <c r="M23" s="16">
        <f t="shared" si="2"/>
        <v>0</v>
      </c>
      <c r="N23" s="16">
        <f t="shared" si="2"/>
        <v>892768</v>
      </c>
      <c r="P23" s="16">
        <f aca="true" t="shared" si="3" ref="P23:AA23">SUM(P5:P22)</f>
        <v>412758</v>
      </c>
      <c r="Q23" s="16">
        <f t="shared" si="3"/>
        <v>412758</v>
      </c>
      <c r="R23" s="16">
        <f t="shared" si="3"/>
        <v>0</v>
      </c>
      <c r="S23" s="17">
        <f t="shared" si="3"/>
        <v>29644</v>
      </c>
      <c r="T23" s="16">
        <f t="shared" si="3"/>
        <v>131025</v>
      </c>
      <c r="U23" s="16">
        <f t="shared" si="3"/>
        <v>46675</v>
      </c>
      <c r="V23" s="16">
        <f t="shared" si="3"/>
        <v>8000</v>
      </c>
      <c r="W23" s="16">
        <f t="shared" si="3"/>
        <v>22200</v>
      </c>
      <c r="X23" s="16">
        <f t="shared" si="3"/>
        <v>156197</v>
      </c>
      <c r="Y23" s="16">
        <f t="shared" si="3"/>
        <v>74253</v>
      </c>
      <c r="Z23" s="16">
        <f t="shared" si="3"/>
        <v>19216</v>
      </c>
      <c r="AA23" s="16">
        <f t="shared" si="3"/>
        <v>-7200</v>
      </c>
    </row>
    <row r="24" spans="16:27" ht="14.25" thickBot="1" thickTop="1">
      <c r="P24" s="18">
        <f>P23</f>
        <v>412758</v>
      </c>
      <c r="Q24" s="1"/>
      <c r="R24" s="1"/>
      <c r="S24" s="18">
        <f aca="true" t="shared" si="4" ref="S24:X24">S23</f>
        <v>29644</v>
      </c>
      <c r="T24" s="18">
        <f t="shared" si="4"/>
        <v>131025</v>
      </c>
      <c r="U24" s="18">
        <f t="shared" si="4"/>
        <v>46675</v>
      </c>
      <c r="V24" s="18">
        <f t="shared" si="4"/>
        <v>8000</v>
      </c>
      <c r="W24" s="18">
        <f t="shared" si="4"/>
        <v>22200</v>
      </c>
      <c r="X24" s="18">
        <f t="shared" si="4"/>
        <v>156197</v>
      </c>
      <c r="Y24" s="34">
        <f>Y23+Z23</f>
        <v>93469</v>
      </c>
      <c r="Z24" s="34"/>
      <c r="AA24" s="18">
        <f>AA23</f>
        <v>-7200</v>
      </c>
    </row>
    <row r="25" spans="1:15" ht="14.25" thickBot="1" thickTop="1">
      <c r="A25" t="s">
        <v>39</v>
      </c>
      <c r="D25" s="17">
        <v>775260</v>
      </c>
      <c r="F25" s="1"/>
      <c r="G25" s="1"/>
      <c r="H25" s="1"/>
      <c r="N25" s="17">
        <f>D25</f>
        <v>775260</v>
      </c>
      <c r="O25" s="17">
        <f>SUM(P24:AA24)</f>
        <v>892768</v>
      </c>
    </row>
    <row r="26" spans="1:13" ht="13.5" thickTop="1">
      <c r="A26" t="s">
        <v>40</v>
      </c>
      <c r="M26" s="1"/>
    </row>
    <row r="27" spans="1:14" ht="13.5" thickBot="1">
      <c r="A27" t="s">
        <v>41</v>
      </c>
      <c r="D27" s="35">
        <f>D23-D25+E23</f>
        <v>63406</v>
      </c>
      <c r="E27" s="35"/>
      <c r="F27" s="17">
        <f>F23</f>
        <v>-8060</v>
      </c>
      <c r="G27" s="17">
        <f>G23</f>
        <v>-41947</v>
      </c>
      <c r="H27" s="17"/>
      <c r="I27" s="17">
        <f>I23</f>
        <v>0</v>
      </c>
      <c r="J27" s="17">
        <f>J23</f>
        <v>0</v>
      </c>
      <c r="K27" s="17">
        <f>K23</f>
        <v>105364</v>
      </c>
      <c r="L27" s="17">
        <f>L23</f>
        <v>-1255</v>
      </c>
      <c r="M27" s="17">
        <f>M23</f>
        <v>0</v>
      </c>
      <c r="N27" s="17">
        <f>N23-N25</f>
        <v>117508</v>
      </c>
    </row>
    <row r="28" spans="11:12" ht="14.25" thickBot="1" thickTop="1">
      <c r="K28" s="36">
        <f>SUM(K27:L27)</f>
        <v>104109</v>
      </c>
      <c r="L28" s="36"/>
    </row>
    <row r="29" ht="13.5" thickTop="1"/>
    <row r="30" spans="1:5" ht="12.75" hidden="1">
      <c r="A30" t="s">
        <v>44</v>
      </c>
      <c r="B30" t="s">
        <v>45</v>
      </c>
      <c r="C30" s="1"/>
      <c r="D30" t="s">
        <v>53</v>
      </c>
      <c r="E30" t="s">
        <v>6</v>
      </c>
    </row>
    <row r="31" spans="1:4" ht="12.75" hidden="1">
      <c r="A31">
        <v>9015</v>
      </c>
      <c r="B31" t="s">
        <v>46</v>
      </c>
      <c r="C31" s="1"/>
      <c r="D31">
        <v>15000</v>
      </c>
    </row>
    <row r="32" spans="2:5" ht="12.75" hidden="1">
      <c r="B32" t="s">
        <v>47</v>
      </c>
      <c r="C32" s="1"/>
      <c r="D32">
        <v>-5000</v>
      </c>
      <c r="E32">
        <v>5000</v>
      </c>
    </row>
    <row r="33" ht="12.75" hidden="1">
      <c r="B33" t="s">
        <v>48</v>
      </c>
    </row>
    <row r="34" spans="1:4" ht="12.75" hidden="1">
      <c r="A34">
        <v>9020</v>
      </c>
      <c r="B34" t="s">
        <v>55</v>
      </c>
      <c r="D34">
        <v>10000</v>
      </c>
    </row>
    <row r="35" spans="1:4" ht="12.75" hidden="1">
      <c r="A35">
        <v>9022</v>
      </c>
      <c r="B35" t="s">
        <v>49</v>
      </c>
      <c r="D35">
        <v>4000</v>
      </c>
    </row>
    <row r="36" spans="1:5" ht="12.75" hidden="1">
      <c r="A36">
        <v>9024</v>
      </c>
      <c r="B36" t="s">
        <v>52</v>
      </c>
      <c r="E36">
        <v>500</v>
      </c>
    </row>
    <row r="37" spans="1:4" ht="12.75" hidden="1">
      <c r="A37">
        <v>9025</v>
      </c>
      <c r="B37" t="s">
        <v>50</v>
      </c>
      <c r="D37">
        <v>500</v>
      </c>
    </row>
    <row r="38" spans="1:4" ht="12.75" hidden="1">
      <c r="A38">
        <v>9026</v>
      </c>
      <c r="B38" t="s">
        <v>54</v>
      </c>
      <c r="D38">
        <v>500</v>
      </c>
    </row>
    <row r="39" spans="1:4" ht="12.75" hidden="1">
      <c r="A39">
        <v>9027</v>
      </c>
      <c r="B39" t="s">
        <v>24</v>
      </c>
      <c r="D39">
        <v>3500</v>
      </c>
    </row>
    <row r="40" spans="1:2" ht="12.75" hidden="1">
      <c r="A40">
        <v>9028</v>
      </c>
      <c r="B40" t="s">
        <v>52</v>
      </c>
    </row>
    <row r="41" spans="1:4" ht="12.75" hidden="1">
      <c r="A41">
        <v>9029</v>
      </c>
      <c r="B41" t="s">
        <v>51</v>
      </c>
      <c r="D41">
        <v>1000</v>
      </c>
    </row>
    <row r="42" spans="1:4" ht="12.75" hidden="1">
      <c r="A42">
        <v>9030</v>
      </c>
      <c r="B42" t="s">
        <v>50</v>
      </c>
      <c r="D42">
        <v>5000</v>
      </c>
    </row>
    <row r="43" spans="1:4" ht="12.75" hidden="1">
      <c r="A43">
        <v>9031</v>
      </c>
      <c r="B43" t="s">
        <v>54</v>
      </c>
      <c r="D43">
        <v>500</v>
      </c>
    </row>
    <row r="44" spans="1:5" ht="12.75" hidden="1">
      <c r="A44">
        <v>9032</v>
      </c>
      <c r="B44" t="s">
        <v>52</v>
      </c>
      <c r="E44">
        <v>1000</v>
      </c>
    </row>
    <row r="45" spans="3:5" ht="12.75" hidden="1">
      <c r="C45" s="19">
        <f>SUM(D45:E45)</f>
        <v>41500</v>
      </c>
      <c r="D45" s="19">
        <f>SUM(D31:D44)</f>
        <v>35000</v>
      </c>
      <c r="E45" s="19">
        <f>SUM(E31:E44)</f>
        <v>6500</v>
      </c>
    </row>
    <row r="51" spans="24:27" ht="12.75">
      <c r="X51" s="1"/>
      <c r="Y51" s="1"/>
      <c r="Z51" s="1"/>
      <c r="AA51" s="1"/>
    </row>
    <row r="52" spans="24:27" ht="12.75">
      <c r="X52" s="1"/>
      <c r="Y52" s="1"/>
      <c r="Z52" s="1"/>
      <c r="AA52" s="1"/>
    </row>
    <row r="53" spans="24:27" ht="12.75">
      <c r="X53" s="1"/>
      <c r="Y53" s="1"/>
      <c r="Z53" s="1"/>
      <c r="AA53" s="1"/>
    </row>
  </sheetData>
  <sheetProtection/>
  <mergeCells count="4">
    <mergeCell ref="I4:J4"/>
    <mergeCell ref="Y24:Z24"/>
    <mergeCell ref="D27:E27"/>
    <mergeCell ref="K28:L28"/>
  </mergeCells>
  <printOptions/>
  <pageMargins left="0.1968503937007874" right="0.2362204724409449" top="0.2755905511811024" bottom="0.6299212598425197" header="0.1968503937007874" footer="0.2362204724409449"/>
  <pageSetup fitToWidth="2" horizontalDpi="300" verticalDpi="300" orientation="landscape" paperSize="9" scale="87" r:id="rId1"/>
  <headerFooter alignWithMargins="0">
    <oddFooter>&amp;LPrepared by:
RBS Accounting Solutions&amp;CFor:
Bradley Stoke Town Council&amp;R&amp;T
&amp;D</oddFooter>
  </headerFooter>
  <colBreaks count="1" manualBreakCount="1">
    <brk id="1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zoomScalePageLayoutView="0" workbookViewId="0" topLeftCell="C1">
      <selection activeCell="T12" sqref="T12"/>
    </sheetView>
  </sheetViews>
  <sheetFormatPr defaultColWidth="9.140625" defaultRowHeight="12.75"/>
  <cols>
    <col min="1" max="1" width="6.421875" style="0" customWidth="1"/>
    <col min="2" max="2" width="23.140625" style="0" customWidth="1"/>
    <col min="3" max="3" width="14.28125" style="0" customWidth="1"/>
    <col min="5" max="5" width="9.00390625" style="0" customWidth="1"/>
    <col min="6" max="6" width="10.57421875" style="0" customWidth="1"/>
    <col min="7" max="7" width="3.8515625" style="0" customWidth="1"/>
    <col min="13" max="13" width="7.57421875" style="0" bestFit="1" customWidth="1"/>
    <col min="14" max="14" width="8.7109375" style="0" customWidth="1"/>
    <col min="15" max="15" width="10.8515625" style="0" bestFit="1" customWidth="1"/>
    <col min="16" max="16" width="9.57421875" style="0" bestFit="1" customWidth="1"/>
    <col min="17" max="17" width="10.7109375" style="0" bestFit="1" customWidth="1"/>
    <col min="18" max="18" width="10.8515625" style="0" bestFit="1" customWidth="1"/>
    <col min="19" max="19" width="6.57421875" style="0" bestFit="1" customWidth="1"/>
    <col min="20" max="21" width="6.57421875" style="0" customWidth="1"/>
    <col min="23" max="23" width="6.28125" style="0" customWidth="1"/>
    <col min="24" max="24" width="6.00390625" style="0" bestFit="1" customWidth="1"/>
    <col min="25" max="25" width="7.7109375" style="0" customWidth="1"/>
  </cols>
  <sheetData>
    <row r="1" spans="1:5" ht="12.75">
      <c r="A1" s="2" t="s">
        <v>0</v>
      </c>
      <c r="E1" s="2" t="s">
        <v>69</v>
      </c>
    </row>
    <row r="2" spans="1:5" ht="12.75">
      <c r="A2" s="2"/>
      <c r="E2" s="2"/>
    </row>
    <row r="3" spans="1:12" ht="13.5" thickBot="1">
      <c r="A3" s="2"/>
      <c r="B3" s="2"/>
      <c r="C3" s="2"/>
      <c r="D3" s="3" t="s">
        <v>2</v>
      </c>
      <c r="E3" s="3"/>
      <c r="F3" s="3"/>
      <c r="G3" s="3"/>
      <c r="H3" s="3"/>
      <c r="I3" s="3"/>
      <c r="J3" s="3"/>
      <c r="K3" s="4"/>
      <c r="L3" s="4"/>
    </row>
    <row r="4" spans="3:25" ht="13.5" thickBot="1">
      <c r="C4" s="4" t="s">
        <v>3</v>
      </c>
      <c r="D4" s="4" t="s">
        <v>4</v>
      </c>
      <c r="E4" s="4" t="s">
        <v>5</v>
      </c>
      <c r="F4" s="4" t="s">
        <v>6</v>
      </c>
      <c r="G4" s="4"/>
      <c r="H4" s="33" t="s">
        <v>57</v>
      </c>
      <c r="I4" s="33"/>
      <c r="J4" s="4" t="s">
        <v>8</v>
      </c>
      <c r="K4" s="4" t="s">
        <v>9</v>
      </c>
      <c r="L4" s="4" t="s">
        <v>10</v>
      </c>
      <c r="N4" s="5" t="s">
        <v>11</v>
      </c>
      <c r="O4" s="6" t="s">
        <v>12</v>
      </c>
      <c r="P4" s="7" t="s">
        <v>13</v>
      </c>
      <c r="Q4" s="8" t="s">
        <v>14</v>
      </c>
      <c r="R4" s="9" t="s">
        <v>15</v>
      </c>
      <c r="S4" s="10" t="s">
        <v>16</v>
      </c>
      <c r="T4" s="10" t="s">
        <v>62</v>
      </c>
      <c r="U4" s="10" t="s">
        <v>17</v>
      </c>
      <c r="V4" s="9" t="s">
        <v>18</v>
      </c>
      <c r="W4" s="9" t="s">
        <v>19</v>
      </c>
      <c r="X4" s="9" t="s">
        <v>20</v>
      </c>
      <c r="Y4" s="5" t="s">
        <v>9</v>
      </c>
    </row>
    <row r="5" spans="8:25" ht="12.75">
      <c r="H5" s="4" t="s">
        <v>58</v>
      </c>
      <c r="I5" s="4" t="s">
        <v>59</v>
      </c>
      <c r="J5" t="s">
        <v>60</v>
      </c>
      <c r="O5" s="11"/>
      <c r="P5" s="12"/>
      <c r="Q5" s="1"/>
      <c r="R5" s="12"/>
      <c r="S5" s="12"/>
      <c r="T5" s="12"/>
      <c r="U5" s="12"/>
      <c r="V5" s="1"/>
      <c r="W5" s="13"/>
      <c r="X5" s="13"/>
      <c r="Y5" s="13"/>
    </row>
    <row r="6" spans="1:23" ht="12" customHeight="1">
      <c r="A6">
        <v>101</v>
      </c>
      <c r="B6" t="s">
        <v>21</v>
      </c>
      <c r="C6" s="14"/>
      <c r="D6">
        <v>89453</v>
      </c>
      <c r="E6">
        <v>-57700</v>
      </c>
      <c r="G6" s="14" t="s">
        <v>22</v>
      </c>
      <c r="J6">
        <v>29998</v>
      </c>
      <c r="L6">
        <f aca="true" t="shared" si="0" ref="L6:L22">SUM(D6:K6)</f>
        <v>61751</v>
      </c>
      <c r="N6">
        <f aca="true" t="shared" si="1" ref="N6:N22">SUM(O6:P6)</f>
        <v>61751</v>
      </c>
      <c r="O6" s="11">
        <f>L6</f>
        <v>61751</v>
      </c>
      <c r="P6" s="1"/>
      <c r="Q6" s="1"/>
      <c r="R6" s="1"/>
      <c r="S6" s="1"/>
      <c r="T6" s="1"/>
      <c r="W6" s="1"/>
    </row>
    <row r="7" spans="1:24" ht="12" customHeight="1">
      <c r="A7">
        <v>102</v>
      </c>
      <c r="B7" t="s">
        <v>54</v>
      </c>
      <c r="C7" s="14"/>
      <c r="D7">
        <v>37144</v>
      </c>
      <c r="E7">
        <v>-34100</v>
      </c>
      <c r="G7" s="14" t="s">
        <v>22</v>
      </c>
      <c r="H7">
        <f>-H16</f>
        <v>199341</v>
      </c>
      <c r="J7">
        <v>13857</v>
      </c>
      <c r="L7">
        <f t="shared" si="0"/>
        <v>216242</v>
      </c>
      <c r="N7">
        <f t="shared" si="1"/>
        <v>216242</v>
      </c>
      <c r="O7" s="11">
        <f>L7</f>
        <v>216242</v>
      </c>
      <c r="P7" s="1"/>
      <c r="Q7" s="1"/>
      <c r="R7" s="1"/>
      <c r="S7" s="1"/>
      <c r="T7" s="1"/>
      <c r="U7" s="1"/>
      <c r="X7" s="1"/>
    </row>
    <row r="8" spans="1:24" ht="12" customHeight="1">
      <c r="A8">
        <v>103</v>
      </c>
      <c r="B8" t="s">
        <v>24</v>
      </c>
      <c r="C8" s="14"/>
      <c r="D8">
        <v>94858</v>
      </c>
      <c r="E8">
        <v>-34000</v>
      </c>
      <c r="G8" s="14" t="s">
        <v>22</v>
      </c>
      <c r="J8">
        <v>32152</v>
      </c>
      <c r="L8">
        <f t="shared" si="0"/>
        <v>93010</v>
      </c>
      <c r="N8">
        <f t="shared" si="1"/>
        <v>93010</v>
      </c>
      <c r="O8" s="11">
        <f>L8</f>
        <v>93010</v>
      </c>
      <c r="P8" s="1"/>
      <c r="Q8" s="1"/>
      <c r="R8" s="1"/>
      <c r="S8" s="1"/>
      <c r="T8" s="1"/>
      <c r="U8" s="1"/>
      <c r="X8" s="1"/>
    </row>
    <row r="9" spans="2:24" ht="12" customHeight="1">
      <c r="B9" t="s">
        <v>25</v>
      </c>
      <c r="C9" s="14">
        <v>5084</v>
      </c>
      <c r="D9">
        <v>0</v>
      </c>
      <c r="G9" s="14"/>
      <c r="L9">
        <f t="shared" si="0"/>
        <v>0</v>
      </c>
      <c r="N9">
        <f t="shared" si="1"/>
        <v>0</v>
      </c>
      <c r="O9" s="11"/>
      <c r="P9" s="1">
        <f>L9</f>
        <v>0</v>
      </c>
      <c r="Q9" s="1"/>
      <c r="R9" s="1"/>
      <c r="S9" s="1"/>
      <c r="T9" s="1"/>
      <c r="U9" s="1"/>
      <c r="X9" s="1"/>
    </row>
    <row r="10" spans="1:24" ht="12" customHeight="1">
      <c r="A10">
        <v>201</v>
      </c>
      <c r="B10" t="s">
        <v>26</v>
      </c>
      <c r="C10" s="14" t="s">
        <v>27</v>
      </c>
      <c r="D10">
        <f>2800+3100+50</f>
        <v>5950</v>
      </c>
      <c r="J10">
        <v>15809</v>
      </c>
      <c r="L10">
        <f t="shared" si="0"/>
        <v>21759</v>
      </c>
      <c r="N10">
        <f t="shared" si="1"/>
        <v>0</v>
      </c>
      <c r="O10" s="11"/>
      <c r="P10" s="1"/>
      <c r="Q10" s="1">
        <f>L10</f>
        <v>21759</v>
      </c>
      <c r="R10" s="1"/>
      <c r="S10" s="1"/>
      <c r="T10" s="1"/>
      <c r="U10" s="1"/>
      <c r="X10" s="1"/>
    </row>
    <row r="11" spans="1:24" ht="12" customHeight="1">
      <c r="A11">
        <v>202</v>
      </c>
      <c r="B11" t="s">
        <v>28</v>
      </c>
      <c r="C11" s="22" t="s">
        <v>70</v>
      </c>
      <c r="D11">
        <v>2640</v>
      </c>
      <c r="J11">
        <v>1946</v>
      </c>
      <c r="L11">
        <f t="shared" si="0"/>
        <v>4586</v>
      </c>
      <c r="N11">
        <f t="shared" si="1"/>
        <v>0</v>
      </c>
      <c r="O11" s="11"/>
      <c r="P11" s="1"/>
      <c r="Q11" s="1">
        <f>$L11</f>
        <v>4586</v>
      </c>
      <c r="R11" s="1"/>
      <c r="S11" s="1"/>
      <c r="T11" s="1"/>
      <c r="U11" s="1"/>
      <c r="X11" s="1"/>
    </row>
    <row r="12" spans="1:24" ht="12" customHeight="1">
      <c r="A12">
        <v>206</v>
      </c>
      <c r="B12" t="s">
        <v>30</v>
      </c>
      <c r="C12" s="20" t="s">
        <v>68</v>
      </c>
      <c r="D12">
        <f>6000+14075+104152+5500</f>
        <v>129727</v>
      </c>
      <c r="L12">
        <f t="shared" si="0"/>
        <v>129727</v>
      </c>
      <c r="N12">
        <f t="shared" si="1"/>
        <v>0</v>
      </c>
      <c r="O12" s="11"/>
      <c r="P12" s="1"/>
      <c r="Q12" s="1"/>
      <c r="R12" s="1">
        <f>$L12-T12</f>
        <v>115127</v>
      </c>
      <c r="S12" s="1"/>
      <c r="T12" s="1">
        <f>13400+1200</f>
        <v>14600</v>
      </c>
      <c r="U12" s="1"/>
      <c r="X12" s="1"/>
    </row>
    <row r="13" spans="1:21" ht="12" customHeight="1">
      <c r="A13">
        <v>401</v>
      </c>
      <c r="B13" t="s">
        <v>16</v>
      </c>
      <c r="C13" s="14" t="s">
        <v>32</v>
      </c>
      <c r="D13">
        <f>4820+6604+7580+4300</f>
        <v>23304</v>
      </c>
      <c r="J13">
        <v>12500</v>
      </c>
      <c r="L13">
        <f t="shared" si="0"/>
        <v>35804</v>
      </c>
      <c r="N13">
        <f t="shared" si="1"/>
        <v>0</v>
      </c>
      <c r="O13" s="11"/>
      <c r="P13" s="1"/>
      <c r="Q13" s="1"/>
      <c r="R13" s="1"/>
      <c r="S13" s="1">
        <f>$L13</f>
        <v>35804</v>
      </c>
      <c r="T13" s="1"/>
      <c r="U13" s="1"/>
    </row>
    <row r="14" spans="2:21" ht="12" customHeight="1">
      <c r="B14" t="s">
        <v>33</v>
      </c>
      <c r="C14" s="14">
        <v>5087</v>
      </c>
      <c r="D14">
        <v>22800</v>
      </c>
      <c r="L14">
        <f t="shared" si="0"/>
        <v>22800</v>
      </c>
      <c r="N14">
        <f t="shared" si="1"/>
        <v>0</v>
      </c>
      <c r="O14" s="11"/>
      <c r="P14" s="1"/>
      <c r="Q14" s="1"/>
      <c r="R14" s="1"/>
      <c r="S14" s="1"/>
      <c r="T14" s="1"/>
      <c r="U14" s="1">
        <f>$L14</f>
        <v>22800</v>
      </c>
    </row>
    <row r="15" spans="2:21" ht="12" customHeight="1">
      <c r="B15" s="23" t="s">
        <v>71</v>
      </c>
      <c r="C15" s="14">
        <v>9041</v>
      </c>
      <c r="L15">
        <f t="shared" si="0"/>
        <v>0</v>
      </c>
      <c r="N15">
        <f t="shared" si="1"/>
        <v>0</v>
      </c>
      <c r="O15" s="11"/>
      <c r="P15" s="1"/>
      <c r="Q15" s="1"/>
      <c r="R15" s="1"/>
      <c r="S15" s="1"/>
      <c r="T15" s="1">
        <f>$L15</f>
        <v>0</v>
      </c>
      <c r="U15" s="1"/>
    </row>
    <row r="16" spans="2:22" ht="12" customHeight="1">
      <c r="B16" t="s">
        <v>34</v>
      </c>
      <c r="C16" s="14"/>
      <c r="D16">
        <f>661833-SUM(D9:D14)-SUM(D18:D19)</f>
        <v>472212</v>
      </c>
      <c r="E16">
        <v>-100</v>
      </c>
      <c r="H16" s="21">
        <f>-147066-52275</f>
        <v>-199341</v>
      </c>
      <c r="J16">
        <v>2328</v>
      </c>
      <c r="L16">
        <f t="shared" si="0"/>
        <v>275099</v>
      </c>
      <c r="N16">
        <f t="shared" si="1"/>
        <v>0</v>
      </c>
      <c r="O16" s="11"/>
      <c r="P16" s="1"/>
      <c r="Q16" s="1"/>
      <c r="R16" s="1"/>
      <c r="S16" s="1"/>
      <c r="T16" s="1"/>
      <c r="U16" s="1"/>
      <c r="V16" s="1">
        <f>$L16</f>
        <v>275099</v>
      </c>
    </row>
    <row r="17" spans="1:22" ht="12" customHeight="1">
      <c r="A17">
        <v>901</v>
      </c>
      <c r="B17" t="s">
        <v>35</v>
      </c>
      <c r="C17" s="14"/>
      <c r="L17">
        <f t="shared" si="0"/>
        <v>0</v>
      </c>
      <c r="N17">
        <f t="shared" si="1"/>
        <v>0</v>
      </c>
      <c r="O17" s="11"/>
      <c r="P17" s="1"/>
      <c r="Q17" s="1"/>
      <c r="R17" s="1"/>
      <c r="S17" s="1"/>
      <c r="T17" s="1"/>
      <c r="U17" s="1"/>
      <c r="V17" s="1">
        <f>$L17</f>
        <v>0</v>
      </c>
    </row>
    <row r="18" spans="1:23" ht="12" customHeight="1">
      <c r="A18">
        <v>902</v>
      </c>
      <c r="B18" t="s">
        <v>36</v>
      </c>
      <c r="C18" s="14">
        <v>5086</v>
      </c>
      <c r="D18">
        <v>4500</v>
      </c>
      <c r="J18">
        <v>579</v>
      </c>
      <c r="L18">
        <f t="shared" si="0"/>
        <v>5079</v>
      </c>
      <c r="N18">
        <f t="shared" si="1"/>
        <v>0</v>
      </c>
      <c r="O18" s="11"/>
      <c r="P18" s="1"/>
      <c r="Q18" s="1"/>
      <c r="R18" s="1"/>
      <c r="S18" s="1"/>
      <c r="T18" s="1"/>
      <c r="U18" s="1"/>
      <c r="W18" s="1">
        <f>$L18</f>
        <v>5079</v>
      </c>
    </row>
    <row r="19" spans="1:24" ht="12" customHeight="1">
      <c r="A19">
        <v>903</v>
      </c>
      <c r="B19" t="s">
        <v>20</v>
      </c>
      <c r="C19" s="14">
        <v>5073</v>
      </c>
      <c r="D19">
        <v>700</v>
      </c>
      <c r="L19">
        <f t="shared" si="0"/>
        <v>700</v>
      </c>
      <c r="N19">
        <f t="shared" si="1"/>
        <v>0</v>
      </c>
      <c r="O19" s="11"/>
      <c r="P19" s="1"/>
      <c r="Q19" s="1"/>
      <c r="R19" s="1"/>
      <c r="S19" s="1"/>
      <c r="T19" s="1"/>
      <c r="U19" s="1"/>
      <c r="X19" s="1">
        <f>$L19</f>
        <v>700</v>
      </c>
    </row>
    <row r="20" spans="2:21" ht="12" customHeight="1">
      <c r="B20" t="s">
        <v>37</v>
      </c>
      <c r="C20" s="14"/>
      <c r="D20">
        <v>43010</v>
      </c>
      <c r="F20">
        <f>-D20</f>
        <v>-43010</v>
      </c>
      <c r="L20">
        <f t="shared" si="0"/>
        <v>0</v>
      </c>
      <c r="N20">
        <f t="shared" si="1"/>
        <v>0</v>
      </c>
      <c r="O20" s="11"/>
      <c r="P20" s="1"/>
      <c r="Q20" s="1"/>
      <c r="R20" s="1"/>
      <c r="S20" s="1"/>
      <c r="T20" s="1"/>
      <c r="U20" s="1"/>
    </row>
    <row r="21" spans="2:21" ht="12" customHeight="1">
      <c r="B21" t="s">
        <v>66</v>
      </c>
      <c r="C21" s="14"/>
      <c r="D21">
        <v>12711</v>
      </c>
      <c r="F21">
        <v>-1011</v>
      </c>
      <c r="L21">
        <f t="shared" si="0"/>
        <v>11700</v>
      </c>
      <c r="N21">
        <f t="shared" si="1"/>
        <v>11700</v>
      </c>
      <c r="O21" s="11">
        <v>11700</v>
      </c>
      <c r="P21" s="1"/>
      <c r="Q21" s="1"/>
      <c r="R21" s="1"/>
      <c r="S21" s="1"/>
      <c r="T21" s="1"/>
      <c r="U21" s="1"/>
    </row>
    <row r="22" spans="2:25" ht="12.75">
      <c r="B22" t="s">
        <v>9</v>
      </c>
      <c r="C22" s="14"/>
      <c r="E22">
        <v>-16400</v>
      </c>
      <c r="L22">
        <f t="shared" si="0"/>
        <v>-16400</v>
      </c>
      <c r="N22">
        <f t="shared" si="1"/>
        <v>0</v>
      </c>
      <c r="O22" s="11"/>
      <c r="P22" s="1"/>
      <c r="Q22" s="15"/>
      <c r="R22" s="1"/>
      <c r="S22" s="1"/>
      <c r="T22" s="1"/>
      <c r="U22" s="1"/>
      <c r="Y22" s="1">
        <f>$L22</f>
        <v>-16400</v>
      </c>
    </row>
    <row r="23" spans="4:25" ht="13.5" thickBot="1">
      <c r="D23" s="16">
        <f>SUM(D6:D22)</f>
        <v>939009</v>
      </c>
      <c r="E23" s="16">
        <f>SUM(E6:E22)</f>
        <v>-142300</v>
      </c>
      <c r="F23" s="16">
        <f>SUM(F6:F22)</f>
        <v>-44021</v>
      </c>
      <c r="G23" s="16"/>
      <c r="H23" s="16">
        <f>SUM(H6:H22)</f>
        <v>0</v>
      </c>
      <c r="I23" s="16">
        <f>SUM(I6:I22)</f>
        <v>0</v>
      </c>
      <c r="J23" s="16">
        <f>SUM(J6:J22)</f>
        <v>109169</v>
      </c>
      <c r="K23" s="16">
        <f>SUM(K6:K22)</f>
        <v>0</v>
      </c>
      <c r="L23" s="16">
        <f>SUM(L6:L22)</f>
        <v>861857</v>
      </c>
      <c r="N23" s="16">
        <f aca="true" t="shared" si="2" ref="N23:Y23">SUM(N5:N22)</f>
        <v>382703</v>
      </c>
      <c r="O23" s="16">
        <f t="shared" si="2"/>
        <v>382703</v>
      </c>
      <c r="P23" s="16">
        <f t="shared" si="2"/>
        <v>0</v>
      </c>
      <c r="Q23" s="17">
        <f t="shared" si="2"/>
        <v>26345</v>
      </c>
      <c r="R23" s="16">
        <f t="shared" si="2"/>
        <v>115127</v>
      </c>
      <c r="S23" s="16">
        <f t="shared" si="2"/>
        <v>35804</v>
      </c>
      <c r="T23" s="16">
        <f t="shared" si="2"/>
        <v>14600</v>
      </c>
      <c r="U23" s="16">
        <f t="shared" si="2"/>
        <v>22800</v>
      </c>
      <c r="V23" s="16">
        <f t="shared" si="2"/>
        <v>275099</v>
      </c>
      <c r="W23" s="16">
        <f t="shared" si="2"/>
        <v>5079</v>
      </c>
      <c r="X23" s="16">
        <f t="shared" si="2"/>
        <v>700</v>
      </c>
      <c r="Y23" s="16">
        <f t="shared" si="2"/>
        <v>-16400</v>
      </c>
    </row>
    <row r="24" spans="14:25" ht="14.25" thickBot="1" thickTop="1">
      <c r="N24" s="18">
        <f>N23</f>
        <v>382703</v>
      </c>
      <c r="O24" s="1"/>
      <c r="P24" s="1"/>
      <c r="Q24" s="18">
        <f aca="true" t="shared" si="3" ref="Q24:V24">Q23</f>
        <v>26345</v>
      </c>
      <c r="R24" s="18">
        <f t="shared" si="3"/>
        <v>115127</v>
      </c>
      <c r="S24" s="18">
        <f t="shared" si="3"/>
        <v>35804</v>
      </c>
      <c r="T24" s="18">
        <f t="shared" si="3"/>
        <v>14600</v>
      </c>
      <c r="U24" s="18">
        <f t="shared" si="3"/>
        <v>22800</v>
      </c>
      <c r="V24" s="18">
        <f t="shared" si="3"/>
        <v>275099</v>
      </c>
      <c r="W24" s="34">
        <f>W23+X23</f>
        <v>5779</v>
      </c>
      <c r="X24" s="34"/>
      <c r="Y24" s="18">
        <f>Y23</f>
        <v>-16400</v>
      </c>
    </row>
    <row r="25" spans="1:13" ht="14.25" thickBot="1" thickTop="1">
      <c r="A25" t="s">
        <v>39</v>
      </c>
      <c r="D25" s="17">
        <v>768904</v>
      </c>
      <c r="F25" s="1"/>
      <c r="G25" s="1"/>
      <c r="L25" s="17">
        <f>D25</f>
        <v>768904</v>
      </c>
      <c r="M25" s="17">
        <f>SUM(N24:Y24)</f>
        <v>861857</v>
      </c>
    </row>
    <row r="26" spans="1:11" ht="13.5" thickTop="1">
      <c r="A26" t="s">
        <v>40</v>
      </c>
      <c r="K26" s="1"/>
    </row>
    <row r="27" spans="1:12" ht="13.5" thickBot="1">
      <c r="A27" t="s">
        <v>41</v>
      </c>
      <c r="D27" s="35">
        <f>D23-D25+E23</f>
        <v>27805</v>
      </c>
      <c r="E27" s="35"/>
      <c r="F27" s="17">
        <f>F23</f>
        <v>-44021</v>
      </c>
      <c r="G27" s="17"/>
      <c r="H27" s="17">
        <f>H23</f>
        <v>0</v>
      </c>
      <c r="I27" s="17"/>
      <c r="J27" s="17">
        <f>J23</f>
        <v>109169</v>
      </c>
      <c r="K27" s="17">
        <f>K23</f>
        <v>0</v>
      </c>
      <c r="L27" s="17">
        <f>L23-L25</f>
        <v>92953</v>
      </c>
    </row>
    <row r="28" ht="13.5" thickTop="1"/>
    <row r="30" spans="1:5" ht="12.75" hidden="1">
      <c r="A30" t="s">
        <v>44</v>
      </c>
      <c r="B30" t="s">
        <v>45</v>
      </c>
      <c r="C30" s="1"/>
      <c r="D30" t="s">
        <v>53</v>
      </c>
      <c r="E30" t="s">
        <v>6</v>
      </c>
    </row>
    <row r="31" spans="1:4" ht="12.75" hidden="1">
      <c r="A31">
        <v>9015</v>
      </c>
      <c r="B31" t="s">
        <v>46</v>
      </c>
      <c r="C31" s="1"/>
      <c r="D31">
        <v>15000</v>
      </c>
    </row>
    <row r="32" spans="2:5" ht="12.75" hidden="1">
      <c r="B32" t="s">
        <v>47</v>
      </c>
      <c r="C32" s="1"/>
      <c r="D32">
        <v>-5000</v>
      </c>
      <c r="E32">
        <v>5000</v>
      </c>
    </row>
    <row r="33" ht="12.75" hidden="1">
      <c r="B33" t="s">
        <v>48</v>
      </c>
    </row>
    <row r="34" spans="1:4" ht="12.75" hidden="1">
      <c r="A34">
        <v>9020</v>
      </c>
      <c r="B34" t="s">
        <v>55</v>
      </c>
      <c r="D34">
        <v>10000</v>
      </c>
    </row>
    <row r="35" spans="1:4" ht="12.75" hidden="1">
      <c r="A35">
        <v>9022</v>
      </c>
      <c r="B35" t="s">
        <v>49</v>
      </c>
      <c r="D35">
        <v>4000</v>
      </c>
    </row>
    <row r="36" spans="1:5" ht="12.75" hidden="1">
      <c r="A36">
        <v>9024</v>
      </c>
      <c r="B36" t="s">
        <v>52</v>
      </c>
      <c r="E36">
        <v>500</v>
      </c>
    </row>
    <row r="37" spans="1:4" ht="12.75" hidden="1">
      <c r="A37">
        <v>9025</v>
      </c>
      <c r="B37" t="s">
        <v>50</v>
      </c>
      <c r="D37">
        <v>500</v>
      </c>
    </row>
    <row r="38" spans="1:4" ht="12.75" hidden="1">
      <c r="A38">
        <v>9026</v>
      </c>
      <c r="B38" t="s">
        <v>54</v>
      </c>
      <c r="D38">
        <v>500</v>
      </c>
    </row>
    <row r="39" spans="1:4" ht="12.75" hidden="1">
      <c r="A39">
        <v>9027</v>
      </c>
      <c r="B39" t="s">
        <v>24</v>
      </c>
      <c r="D39">
        <v>3500</v>
      </c>
    </row>
    <row r="40" spans="1:2" ht="12.75" hidden="1">
      <c r="A40">
        <v>9028</v>
      </c>
      <c r="B40" t="s">
        <v>52</v>
      </c>
    </row>
    <row r="41" spans="1:4" ht="12.75" hidden="1">
      <c r="A41">
        <v>9029</v>
      </c>
      <c r="B41" t="s">
        <v>51</v>
      </c>
      <c r="D41">
        <v>1000</v>
      </c>
    </row>
    <row r="42" spans="1:4" ht="12.75" hidden="1">
      <c r="A42">
        <v>9030</v>
      </c>
      <c r="B42" t="s">
        <v>50</v>
      </c>
      <c r="D42">
        <v>5000</v>
      </c>
    </row>
    <row r="43" spans="1:4" ht="12.75" hidden="1">
      <c r="A43">
        <v>9031</v>
      </c>
      <c r="B43" t="s">
        <v>54</v>
      </c>
      <c r="D43">
        <v>500</v>
      </c>
    </row>
    <row r="44" spans="1:5" ht="12.75" hidden="1">
      <c r="A44">
        <v>9032</v>
      </c>
      <c r="B44" t="s">
        <v>52</v>
      </c>
      <c r="E44">
        <v>1000</v>
      </c>
    </row>
    <row r="45" spans="3:5" ht="12.75" hidden="1">
      <c r="C45" s="19">
        <f>SUM(D45:E45)</f>
        <v>41500</v>
      </c>
      <c r="D45" s="19">
        <f>SUM(D31:D44)</f>
        <v>35000</v>
      </c>
      <c r="E45" s="19">
        <f>SUM(E31:E44)</f>
        <v>6500</v>
      </c>
    </row>
    <row r="51" spans="22:25" ht="12.75">
      <c r="V51" s="1"/>
      <c r="W51" s="1"/>
      <c r="X51" s="1"/>
      <c r="Y51" s="1"/>
    </row>
    <row r="52" spans="22:25" ht="12.75">
      <c r="V52" s="1"/>
      <c r="W52" s="1"/>
      <c r="X52" s="1"/>
      <c r="Y52" s="1"/>
    </row>
    <row r="53" spans="22:25" ht="12.75">
      <c r="V53" s="1"/>
      <c r="W53" s="1"/>
      <c r="X53" s="1"/>
      <c r="Y53" s="1"/>
    </row>
  </sheetData>
  <sheetProtection/>
  <mergeCells count="3">
    <mergeCell ref="H4:I4"/>
    <mergeCell ref="W24:X24"/>
    <mergeCell ref="D27:E27"/>
  </mergeCells>
  <printOptions/>
  <pageMargins left="0.2" right="0.22" top="0.27" bottom="0.62" header="0.2" footer="0.25"/>
  <pageSetup fitToHeight="1" fitToWidth="1" horizontalDpi="300" verticalDpi="300" orientation="landscape" paperSize="9" scale="64" r:id="rId1"/>
  <headerFooter alignWithMargins="0">
    <oddFooter>&amp;LPrepared by:
RBS Accounting Solutions&amp;CFor:
Bradley Stoke Town Council&amp;R&amp;T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DCK Beavers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Kemp</dc:creator>
  <cp:keywords/>
  <dc:description/>
  <cp:lastModifiedBy>Rachel Pullen</cp:lastModifiedBy>
  <cp:lastPrinted>2017-05-22T10:20:22Z</cp:lastPrinted>
  <dcterms:created xsi:type="dcterms:W3CDTF">2005-04-03T12:27:05Z</dcterms:created>
  <dcterms:modified xsi:type="dcterms:W3CDTF">2017-05-24T10:28:17Z</dcterms:modified>
  <cp:category/>
  <cp:version/>
  <cp:contentType/>
  <cp:contentStatus/>
</cp:coreProperties>
</file>